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D:\BAGIAN HUKUM SETDA\KUMPULAN PERATURAN BUPATI\PERBUP 2021 - JDIH\PERBUP DPMD 2021\"/>
    </mc:Choice>
  </mc:AlternateContent>
  <bookViews>
    <workbookView xWindow="-105" yWindow="-105" windowWidth="23250" windowHeight="12570"/>
  </bookViews>
  <sheets>
    <sheet name="LAMPIRAN DBHP" sheetId="16" r:id="rId1"/>
    <sheet name="LAMPIRAN" sheetId="12" state="hidden" r:id="rId2"/>
    <sheet name="P" sheetId="5" r:id="rId3"/>
    <sheet name="KK_Simulasi (2)" sheetId="7" state="hidden" r:id="rId4"/>
    <sheet name="R" sheetId="15" r:id="rId5"/>
    <sheet name="DASAR" sheetId="6" r:id="rId6"/>
    <sheet name="DATA" sheetId="14" r:id="rId7"/>
    <sheet name="Sheet2" sheetId="13" state="hidden" r:id="rId8"/>
  </sheets>
  <definedNames>
    <definedName name="_xlnm._FilterDatabase" localSheetId="3" hidden="1">'KK_Simulasi (2)'!$A$9:$T$9</definedName>
    <definedName name="_xlnm._FilterDatabase" localSheetId="1" hidden="1">LAMPIRAN!$A$12:$I$12</definedName>
    <definedName name="_xlnm._FilterDatabase" localSheetId="0" hidden="1">'LAMPIRAN DBHP'!$A$12:$G$12</definedName>
    <definedName name="_xlnm._FilterDatabase" localSheetId="2" hidden="1">P!$A$12:$I$12</definedName>
    <definedName name="_xlnm._FilterDatabase" localSheetId="4" hidden="1">'R'!$A$12:$I$12</definedName>
    <definedName name="Kab_Buton_Utara" localSheetId="5">DASAR!$A$1:$K$79</definedName>
    <definedName name="kd_daerah" localSheetId="3">#REF!</definedName>
    <definedName name="kd_daerah" localSheetId="1">#REF!</definedName>
    <definedName name="kd_daerah" localSheetId="0">#REF!</definedName>
    <definedName name="kd_daerah" localSheetId="2">#REF!</definedName>
    <definedName name="kd_daerah" localSheetId="4">#REF!</definedName>
    <definedName name="kd_daerah">#REF!</definedName>
    <definedName name="kode" localSheetId="3">#REF!</definedName>
    <definedName name="kode" localSheetId="1">#REF!</definedName>
    <definedName name="kode" localSheetId="0">#REF!</definedName>
    <definedName name="kode" localSheetId="2">#REF!</definedName>
    <definedName name="kode" localSheetId="4">#REF!</definedName>
    <definedName name="kode">#REF!</definedName>
    <definedName name="nmdaerah" localSheetId="3">#REF!</definedName>
    <definedName name="nmdaerah" localSheetId="1">#REF!</definedName>
    <definedName name="nmdaerah" localSheetId="0">#REF!</definedName>
    <definedName name="nmdaerah" localSheetId="2">#REF!</definedName>
    <definedName name="nmdaerah" localSheetId="4">#REF!</definedName>
    <definedName name="nmdaerah">#REF!</definedName>
    <definedName name="penduduk" localSheetId="3">#REF!</definedName>
    <definedName name="penduduk" localSheetId="1">#REF!</definedName>
    <definedName name="penduduk" localSheetId="0">#REF!</definedName>
    <definedName name="penduduk" localSheetId="2">#REF!</definedName>
    <definedName name="penduduk" localSheetId="4">#REF!</definedName>
    <definedName name="penduduk">#REF!</definedName>
    <definedName name="_xlnm.Print_Area" localSheetId="3">'KK_Simulasi (2)'!$B$1:$T$107</definedName>
    <definedName name="_xlnm.Print_Area" localSheetId="1">LAMPIRAN!$B$1:$I$109</definedName>
    <definedName name="_xlnm.Print_Area" localSheetId="0">'LAMPIRAN DBHP'!$B$1:$G$109</definedName>
    <definedName name="_xlnm.Print_Area" localSheetId="2">P!$B$1:$I$109</definedName>
    <definedName name="_xlnm.Print_Area" localSheetId="4">'R'!$B$1:$I$109</definedName>
    <definedName name="_xlnm.Print_Titles" localSheetId="3">'KK_Simulasi (2)'!$6:$9</definedName>
    <definedName name="_xlnm.Print_Titles" localSheetId="1">LAMPIRAN!$9:$12</definedName>
    <definedName name="_xlnm.Print_Titles" localSheetId="0">'LAMPIRAN DBHP'!$9:$12</definedName>
    <definedName name="_xlnm.Print_Titles" localSheetId="2">P!$9:$12</definedName>
    <definedName name="_xlnm.Print_Titles" localSheetId="4">'R'!$9:$12</definedName>
  </definedNames>
  <calcPr calcId="162913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98" i="16" l="1"/>
  <c r="J97" i="16"/>
  <c r="J96" i="16"/>
  <c r="G14" i="16"/>
  <c r="G15" i="16"/>
  <c r="G16" i="16"/>
  <c r="G17" i="16"/>
  <c r="G18" i="16"/>
  <c r="G19" i="16"/>
  <c r="G20" i="16"/>
  <c r="G21" i="16"/>
  <c r="G22" i="16"/>
  <c r="G23" i="16"/>
  <c r="G24" i="16"/>
  <c r="G25" i="16"/>
  <c r="G26" i="16"/>
  <c r="G27" i="16"/>
  <c r="G28" i="16"/>
  <c r="G29" i="16"/>
  <c r="G30" i="16"/>
  <c r="G31" i="16"/>
  <c r="G32" i="16"/>
  <c r="G33" i="16"/>
  <c r="G34" i="16"/>
  <c r="G35" i="16"/>
  <c r="G36" i="16"/>
  <c r="G37" i="16"/>
  <c r="G38" i="16"/>
  <c r="G39" i="16"/>
  <c r="G40" i="16"/>
  <c r="G41" i="16"/>
  <c r="G42" i="16"/>
  <c r="G43" i="16"/>
  <c r="G44" i="16"/>
  <c r="G45" i="16"/>
  <c r="G46" i="16"/>
  <c r="G47" i="16"/>
  <c r="G48" i="16"/>
  <c r="G49" i="16"/>
  <c r="G50" i="16"/>
  <c r="G51" i="16"/>
  <c r="G52" i="16"/>
  <c r="G53" i="16"/>
  <c r="G54" i="16"/>
  <c r="G55" i="16"/>
  <c r="G56" i="16"/>
  <c r="G57" i="16"/>
  <c r="G58" i="16"/>
  <c r="G59" i="16"/>
  <c r="G60" i="16"/>
  <c r="G61" i="16"/>
  <c r="G62" i="16"/>
  <c r="G63" i="16"/>
  <c r="G64" i="16"/>
  <c r="G65" i="16"/>
  <c r="G66" i="16"/>
  <c r="G67" i="16"/>
  <c r="G68" i="16"/>
  <c r="G69" i="16"/>
  <c r="G70" i="16"/>
  <c r="G71" i="16"/>
  <c r="G72" i="16"/>
  <c r="G73" i="16"/>
  <c r="G74" i="16"/>
  <c r="G75" i="16"/>
  <c r="G76" i="16"/>
  <c r="G77" i="16"/>
  <c r="G78" i="16"/>
  <c r="G79" i="16"/>
  <c r="G80" i="16"/>
  <c r="G81" i="16"/>
  <c r="G82" i="16"/>
  <c r="G83" i="16"/>
  <c r="G84" i="16"/>
  <c r="G85" i="16"/>
  <c r="G86" i="16"/>
  <c r="G87" i="16"/>
  <c r="G88" i="16"/>
  <c r="G89" i="16"/>
  <c r="G90" i="16"/>
  <c r="G13" i="16"/>
  <c r="F14" i="16"/>
  <c r="F15" i="16"/>
  <c r="F16" i="16"/>
  <c r="F17" i="16"/>
  <c r="F18" i="16"/>
  <c r="F19" i="16"/>
  <c r="F20" i="16"/>
  <c r="F21" i="16"/>
  <c r="F22" i="16"/>
  <c r="F23" i="16"/>
  <c r="F24" i="16"/>
  <c r="F25" i="16"/>
  <c r="F26" i="16"/>
  <c r="F27" i="16"/>
  <c r="F28" i="16"/>
  <c r="F29" i="16"/>
  <c r="F30" i="16"/>
  <c r="F31" i="16"/>
  <c r="F32" i="16"/>
  <c r="F33" i="16"/>
  <c r="F34" i="16"/>
  <c r="F35" i="16"/>
  <c r="F36" i="16"/>
  <c r="F37" i="16"/>
  <c r="F38" i="16"/>
  <c r="F39" i="16"/>
  <c r="F40" i="16"/>
  <c r="F41" i="16"/>
  <c r="F42" i="16"/>
  <c r="F43" i="16"/>
  <c r="F44" i="16"/>
  <c r="F45" i="16"/>
  <c r="F46" i="16"/>
  <c r="F47" i="16"/>
  <c r="F48" i="16"/>
  <c r="F49" i="16"/>
  <c r="F50" i="16"/>
  <c r="F51" i="16"/>
  <c r="F52" i="16"/>
  <c r="F53" i="16"/>
  <c r="F54" i="16"/>
  <c r="F55" i="16"/>
  <c r="F56" i="16"/>
  <c r="F57" i="16"/>
  <c r="F58" i="16"/>
  <c r="F59" i="16"/>
  <c r="F60" i="16"/>
  <c r="F61" i="16"/>
  <c r="F62" i="16"/>
  <c r="F63" i="16"/>
  <c r="F64" i="16"/>
  <c r="F65" i="16"/>
  <c r="F66" i="16"/>
  <c r="F67" i="16"/>
  <c r="F68" i="16"/>
  <c r="F69" i="16"/>
  <c r="F70" i="16"/>
  <c r="F71" i="16"/>
  <c r="F72" i="16"/>
  <c r="F73" i="16"/>
  <c r="F74" i="16"/>
  <c r="F75" i="16"/>
  <c r="F76" i="16"/>
  <c r="F77" i="16"/>
  <c r="F78" i="16"/>
  <c r="F79" i="16"/>
  <c r="F80" i="16"/>
  <c r="F81" i="16"/>
  <c r="F82" i="16"/>
  <c r="F83" i="16"/>
  <c r="F84" i="16"/>
  <c r="F85" i="16"/>
  <c r="F86" i="16"/>
  <c r="F87" i="16"/>
  <c r="F88" i="16"/>
  <c r="F89" i="16"/>
  <c r="F90" i="16"/>
  <c r="F13" i="16"/>
  <c r="E14" i="16"/>
  <c r="E15" i="16"/>
  <c r="E16" i="16"/>
  <c r="E17" i="16"/>
  <c r="E18" i="16"/>
  <c r="E19" i="16"/>
  <c r="E20" i="16"/>
  <c r="E21" i="16"/>
  <c r="E22" i="16"/>
  <c r="E23" i="16"/>
  <c r="E24" i="16"/>
  <c r="E25" i="16"/>
  <c r="E26" i="16"/>
  <c r="E27" i="16"/>
  <c r="E28" i="16"/>
  <c r="E29" i="16"/>
  <c r="E30" i="16"/>
  <c r="E31" i="16"/>
  <c r="E32" i="16"/>
  <c r="E33" i="16"/>
  <c r="E34" i="16"/>
  <c r="E35" i="16"/>
  <c r="E36" i="16"/>
  <c r="E37" i="16"/>
  <c r="E38" i="16"/>
  <c r="E39" i="16"/>
  <c r="E40" i="16"/>
  <c r="E41" i="16"/>
  <c r="E42" i="16"/>
  <c r="E43" i="16"/>
  <c r="E44" i="16"/>
  <c r="E45" i="16"/>
  <c r="E46" i="16"/>
  <c r="E47" i="16"/>
  <c r="E48" i="16"/>
  <c r="E49" i="16"/>
  <c r="E50" i="16"/>
  <c r="E51" i="16"/>
  <c r="E52" i="16"/>
  <c r="E53" i="16"/>
  <c r="E54" i="16"/>
  <c r="E55" i="16"/>
  <c r="E56" i="16"/>
  <c r="E57" i="16"/>
  <c r="E58" i="16"/>
  <c r="E59" i="16"/>
  <c r="E60" i="16"/>
  <c r="E61" i="16"/>
  <c r="E62" i="16"/>
  <c r="E63" i="16"/>
  <c r="E64" i="16"/>
  <c r="E65" i="16"/>
  <c r="E66" i="16"/>
  <c r="E67" i="16"/>
  <c r="E68" i="16"/>
  <c r="E69" i="16"/>
  <c r="E70" i="16"/>
  <c r="E71" i="16"/>
  <c r="E72" i="16"/>
  <c r="E73" i="16"/>
  <c r="E74" i="16"/>
  <c r="E75" i="16"/>
  <c r="E76" i="16"/>
  <c r="E77" i="16"/>
  <c r="E78" i="16"/>
  <c r="E79" i="16"/>
  <c r="E80" i="16"/>
  <c r="E81" i="16"/>
  <c r="E82" i="16"/>
  <c r="E83" i="16"/>
  <c r="E84" i="16"/>
  <c r="E85" i="16"/>
  <c r="E86" i="16"/>
  <c r="E87" i="16"/>
  <c r="E88" i="16"/>
  <c r="E89" i="16"/>
  <c r="E90" i="16"/>
  <c r="E13" i="16"/>
  <c r="I83" i="15"/>
  <c r="I58" i="15"/>
  <c r="E97" i="5"/>
  <c r="F13" i="5"/>
  <c r="E92" i="16"/>
  <c r="D90" i="16"/>
  <c r="C90" i="16"/>
  <c r="D89" i="16"/>
  <c r="C89" i="16"/>
  <c r="D88" i="16"/>
  <c r="C88" i="16"/>
  <c r="D87" i="16"/>
  <c r="C87" i="16"/>
  <c r="D86" i="16"/>
  <c r="C86" i="16"/>
  <c r="D85" i="16"/>
  <c r="C85" i="16"/>
  <c r="D84" i="16"/>
  <c r="C84" i="16"/>
  <c r="D83" i="16"/>
  <c r="C83" i="16"/>
  <c r="D82" i="16"/>
  <c r="C82" i="16"/>
  <c r="D81" i="16"/>
  <c r="C81" i="16"/>
  <c r="D80" i="16"/>
  <c r="C80" i="16"/>
  <c r="D79" i="16"/>
  <c r="C79" i="16"/>
  <c r="D78" i="16"/>
  <c r="C78" i="16"/>
  <c r="D77" i="16"/>
  <c r="C77" i="16"/>
  <c r="D76" i="16"/>
  <c r="C76" i="16"/>
  <c r="D75" i="16"/>
  <c r="C75" i="16"/>
  <c r="D74" i="16"/>
  <c r="C74" i="16"/>
  <c r="D73" i="16"/>
  <c r="C73" i="16"/>
  <c r="D72" i="16"/>
  <c r="C72" i="16"/>
  <c r="D71" i="16"/>
  <c r="C71" i="16"/>
  <c r="D70" i="16"/>
  <c r="C70" i="16"/>
  <c r="D69" i="16"/>
  <c r="C69" i="16"/>
  <c r="D68" i="16"/>
  <c r="C68" i="16"/>
  <c r="D67" i="16"/>
  <c r="C67" i="16"/>
  <c r="D66" i="16"/>
  <c r="C66" i="16"/>
  <c r="D65" i="16"/>
  <c r="C65" i="16"/>
  <c r="D64" i="16"/>
  <c r="C64" i="16"/>
  <c r="D63" i="16"/>
  <c r="C63" i="16"/>
  <c r="D62" i="16"/>
  <c r="C62" i="16"/>
  <c r="D61" i="16"/>
  <c r="C61" i="16"/>
  <c r="D60" i="16"/>
  <c r="C60" i="16"/>
  <c r="D59" i="16"/>
  <c r="C59" i="16"/>
  <c r="D58" i="16"/>
  <c r="C58" i="16"/>
  <c r="D57" i="16"/>
  <c r="C57" i="16"/>
  <c r="D56" i="16"/>
  <c r="C56" i="16"/>
  <c r="D55" i="16"/>
  <c r="C55" i="16"/>
  <c r="D54" i="16"/>
  <c r="C54" i="16"/>
  <c r="D53" i="16"/>
  <c r="C53" i="16"/>
  <c r="D52" i="16"/>
  <c r="C52" i="16"/>
  <c r="D51" i="16"/>
  <c r="C51" i="16"/>
  <c r="D50" i="16"/>
  <c r="C50" i="16"/>
  <c r="D49" i="16"/>
  <c r="C49" i="16"/>
  <c r="D48" i="16"/>
  <c r="C48" i="16"/>
  <c r="D47" i="16"/>
  <c r="C47" i="16"/>
  <c r="D46" i="16"/>
  <c r="C46" i="16"/>
  <c r="D45" i="16"/>
  <c r="C45" i="16"/>
  <c r="D44" i="16"/>
  <c r="C44" i="16"/>
  <c r="D43" i="16"/>
  <c r="C43" i="16"/>
  <c r="D42" i="16"/>
  <c r="C42" i="16"/>
  <c r="D41" i="16"/>
  <c r="C41" i="16"/>
  <c r="D40" i="16"/>
  <c r="C40" i="16"/>
  <c r="D39" i="16"/>
  <c r="C39" i="16"/>
  <c r="D38" i="16"/>
  <c r="C38" i="16"/>
  <c r="D37" i="16"/>
  <c r="C37" i="16"/>
  <c r="D36" i="16"/>
  <c r="C36" i="16"/>
  <c r="D35" i="16"/>
  <c r="C35" i="16"/>
  <c r="D34" i="16"/>
  <c r="C34" i="16"/>
  <c r="D33" i="16"/>
  <c r="C33" i="16"/>
  <c r="D32" i="16"/>
  <c r="C32" i="16"/>
  <c r="D31" i="16"/>
  <c r="C31" i="16"/>
  <c r="D30" i="16"/>
  <c r="C30" i="16"/>
  <c r="D29" i="16"/>
  <c r="C29" i="16"/>
  <c r="D28" i="16"/>
  <c r="C28" i="16"/>
  <c r="D27" i="16"/>
  <c r="C27" i="16"/>
  <c r="D26" i="16"/>
  <c r="C26" i="16"/>
  <c r="D25" i="16"/>
  <c r="C25" i="16"/>
  <c r="D24" i="16"/>
  <c r="C24" i="16"/>
  <c r="D23" i="16"/>
  <c r="C23" i="16"/>
  <c r="D22" i="16"/>
  <c r="C22" i="16"/>
  <c r="D21" i="16"/>
  <c r="C21" i="16"/>
  <c r="D20" i="16"/>
  <c r="C20" i="16"/>
  <c r="D19" i="16"/>
  <c r="C19" i="16"/>
  <c r="D18" i="16"/>
  <c r="C18" i="16"/>
  <c r="D17" i="16"/>
  <c r="C17" i="16"/>
  <c r="D16" i="16"/>
  <c r="C16" i="16"/>
  <c r="D15" i="16"/>
  <c r="C15" i="16"/>
  <c r="D14" i="16"/>
  <c r="C14" i="16"/>
  <c r="D13" i="16"/>
  <c r="C13" i="16"/>
  <c r="E99" i="15"/>
  <c r="G86" i="15" s="1"/>
  <c r="H86" i="15" s="1"/>
  <c r="E97" i="15"/>
  <c r="E84" i="15" s="1"/>
  <c r="F92" i="15"/>
  <c r="F90" i="15"/>
  <c r="D90" i="15"/>
  <c r="C90" i="15"/>
  <c r="G89" i="15"/>
  <c r="H89" i="15" s="1"/>
  <c r="F89" i="15"/>
  <c r="D89" i="15"/>
  <c r="C89" i="15"/>
  <c r="F88" i="15"/>
  <c r="D88" i="15"/>
  <c r="C88" i="15"/>
  <c r="F87" i="15"/>
  <c r="D87" i="15"/>
  <c r="C87" i="15"/>
  <c r="F86" i="15"/>
  <c r="D86" i="15"/>
  <c r="C86" i="15"/>
  <c r="G85" i="15"/>
  <c r="H85" i="15" s="1"/>
  <c r="F85" i="15"/>
  <c r="D85" i="15"/>
  <c r="C85" i="15"/>
  <c r="F84" i="15"/>
  <c r="D84" i="15"/>
  <c r="C84" i="15"/>
  <c r="G83" i="15"/>
  <c r="F83" i="15"/>
  <c r="E83" i="15"/>
  <c r="D83" i="15"/>
  <c r="C83" i="15"/>
  <c r="F82" i="15"/>
  <c r="D82" i="15"/>
  <c r="C82" i="15"/>
  <c r="G81" i="15"/>
  <c r="H81" i="15" s="1"/>
  <c r="F81" i="15"/>
  <c r="D81" i="15"/>
  <c r="C81" i="15"/>
  <c r="G80" i="15"/>
  <c r="F80" i="15"/>
  <c r="D80" i="15"/>
  <c r="C80" i="15"/>
  <c r="G79" i="15"/>
  <c r="F79" i="15"/>
  <c r="E79" i="15"/>
  <c r="D79" i="15"/>
  <c r="C79" i="15"/>
  <c r="F78" i="15"/>
  <c r="D78" i="15"/>
  <c r="C78" i="15"/>
  <c r="G77" i="15"/>
  <c r="H77" i="15" s="1"/>
  <c r="F77" i="15"/>
  <c r="D77" i="15"/>
  <c r="C77" i="15"/>
  <c r="G76" i="15"/>
  <c r="F76" i="15"/>
  <c r="D76" i="15"/>
  <c r="C76" i="15"/>
  <c r="G75" i="15"/>
  <c r="F75" i="15"/>
  <c r="E75" i="15"/>
  <c r="D75" i="15"/>
  <c r="C75" i="15"/>
  <c r="F74" i="15"/>
  <c r="E74" i="15"/>
  <c r="D74" i="15"/>
  <c r="C74" i="15"/>
  <c r="G73" i="15"/>
  <c r="H73" i="15" s="1"/>
  <c r="F73" i="15"/>
  <c r="D73" i="15"/>
  <c r="C73" i="15"/>
  <c r="G72" i="15"/>
  <c r="F72" i="15"/>
  <c r="H72" i="15" s="1"/>
  <c r="D72" i="15"/>
  <c r="C72" i="15"/>
  <c r="G71" i="15"/>
  <c r="F71" i="15"/>
  <c r="D71" i="15"/>
  <c r="C71" i="15"/>
  <c r="F70" i="15"/>
  <c r="D70" i="15"/>
  <c r="C70" i="15"/>
  <c r="G69" i="15"/>
  <c r="H69" i="15" s="1"/>
  <c r="F69" i="15"/>
  <c r="E69" i="15"/>
  <c r="D69" i="15"/>
  <c r="C69" i="15"/>
  <c r="G68" i="15"/>
  <c r="F68" i="15"/>
  <c r="D68" i="15"/>
  <c r="C68" i="15"/>
  <c r="G67" i="15"/>
  <c r="F67" i="15"/>
  <c r="H67" i="15" s="1"/>
  <c r="D67" i="15"/>
  <c r="C67" i="15"/>
  <c r="G66" i="15"/>
  <c r="H66" i="15" s="1"/>
  <c r="F66" i="15"/>
  <c r="E66" i="15"/>
  <c r="D66" i="15"/>
  <c r="C66" i="15"/>
  <c r="G65" i="15"/>
  <c r="H65" i="15" s="1"/>
  <c r="F65" i="15"/>
  <c r="D65" i="15"/>
  <c r="C65" i="15"/>
  <c r="G64" i="15"/>
  <c r="F64" i="15"/>
  <c r="H64" i="15" s="1"/>
  <c r="D64" i="15"/>
  <c r="C64" i="15"/>
  <c r="G63" i="15"/>
  <c r="F63" i="15"/>
  <c r="H63" i="15" s="1"/>
  <c r="I63" i="15" s="1"/>
  <c r="E63" i="15"/>
  <c r="D63" i="15"/>
  <c r="C63" i="15"/>
  <c r="G62" i="15"/>
  <c r="H62" i="15" s="1"/>
  <c r="F62" i="15"/>
  <c r="D62" i="15"/>
  <c r="C62" i="15"/>
  <c r="G61" i="15"/>
  <c r="H61" i="15" s="1"/>
  <c r="F61" i="15"/>
  <c r="E61" i="15"/>
  <c r="D61" i="15"/>
  <c r="C61" i="15"/>
  <c r="G60" i="15"/>
  <c r="F60" i="15"/>
  <c r="H60" i="15" s="1"/>
  <c r="D60" i="15"/>
  <c r="C60" i="15"/>
  <c r="G59" i="15"/>
  <c r="F59" i="15"/>
  <c r="H59" i="15" s="1"/>
  <c r="E59" i="15"/>
  <c r="D59" i="15"/>
  <c r="C59" i="15"/>
  <c r="H58" i="15"/>
  <c r="G58" i="15"/>
  <c r="F58" i="15"/>
  <c r="E58" i="15"/>
  <c r="D58" i="15"/>
  <c r="C58" i="15"/>
  <c r="G57" i="15"/>
  <c r="H57" i="15" s="1"/>
  <c r="F57" i="15"/>
  <c r="E57" i="15"/>
  <c r="D57" i="15"/>
  <c r="C57" i="15"/>
  <c r="G56" i="15"/>
  <c r="F56" i="15"/>
  <c r="H56" i="15" s="1"/>
  <c r="D56" i="15"/>
  <c r="C56" i="15"/>
  <c r="G55" i="15"/>
  <c r="F55" i="15"/>
  <c r="H55" i="15" s="1"/>
  <c r="I55" i="15" s="1"/>
  <c r="E55" i="15"/>
  <c r="D55" i="15"/>
  <c r="C55" i="15"/>
  <c r="H54" i="15"/>
  <c r="I54" i="15" s="1"/>
  <c r="G54" i="15"/>
  <c r="F54" i="15"/>
  <c r="E54" i="15"/>
  <c r="D54" i="15"/>
  <c r="C54" i="15"/>
  <c r="G53" i="15"/>
  <c r="H53" i="15" s="1"/>
  <c r="F53" i="15"/>
  <c r="E53" i="15"/>
  <c r="D53" i="15"/>
  <c r="C53" i="15"/>
  <c r="G52" i="15"/>
  <c r="F52" i="15"/>
  <c r="H52" i="15" s="1"/>
  <c r="D52" i="15"/>
  <c r="C52" i="15"/>
  <c r="G51" i="15"/>
  <c r="F51" i="15"/>
  <c r="E51" i="15"/>
  <c r="D51" i="15"/>
  <c r="C51" i="15"/>
  <c r="H50" i="15"/>
  <c r="G50" i="15"/>
  <c r="F50" i="15"/>
  <c r="E50" i="15"/>
  <c r="D50" i="15"/>
  <c r="C50" i="15"/>
  <c r="G49" i="15"/>
  <c r="H49" i="15" s="1"/>
  <c r="F49" i="15"/>
  <c r="E49" i="15"/>
  <c r="D49" i="15"/>
  <c r="C49" i="15"/>
  <c r="G48" i="15"/>
  <c r="F48" i="15"/>
  <c r="D48" i="15"/>
  <c r="C48" i="15"/>
  <c r="G47" i="15"/>
  <c r="F47" i="15"/>
  <c r="H47" i="15" s="1"/>
  <c r="I47" i="15" s="1"/>
  <c r="E47" i="15"/>
  <c r="D47" i="15"/>
  <c r="C47" i="15"/>
  <c r="G46" i="15"/>
  <c r="H46" i="15" s="1"/>
  <c r="F46" i="15"/>
  <c r="E46" i="15"/>
  <c r="D46" i="15"/>
  <c r="C46" i="15"/>
  <c r="G45" i="15"/>
  <c r="H45" i="15" s="1"/>
  <c r="F45" i="15"/>
  <c r="E45" i="15"/>
  <c r="D45" i="15"/>
  <c r="C45" i="15"/>
  <c r="G44" i="15"/>
  <c r="F44" i="15"/>
  <c r="E44" i="15"/>
  <c r="D44" i="15"/>
  <c r="C44" i="15"/>
  <c r="G43" i="15"/>
  <c r="F43" i="15"/>
  <c r="E43" i="15"/>
  <c r="D43" i="15"/>
  <c r="C43" i="15"/>
  <c r="G42" i="15"/>
  <c r="H42" i="15" s="1"/>
  <c r="F42" i="15"/>
  <c r="E42" i="15"/>
  <c r="D42" i="15"/>
  <c r="C42" i="15"/>
  <c r="G41" i="15"/>
  <c r="H41" i="15" s="1"/>
  <c r="F41" i="15"/>
  <c r="E41" i="15"/>
  <c r="D41" i="15"/>
  <c r="C41" i="15"/>
  <c r="G40" i="15"/>
  <c r="F40" i="15"/>
  <c r="E40" i="15"/>
  <c r="D40" i="15"/>
  <c r="C40" i="15"/>
  <c r="G39" i="15"/>
  <c r="F39" i="15"/>
  <c r="E39" i="15"/>
  <c r="D39" i="15"/>
  <c r="C39" i="15"/>
  <c r="G38" i="15"/>
  <c r="H38" i="15" s="1"/>
  <c r="I38" i="15" s="1"/>
  <c r="F38" i="15"/>
  <c r="E38" i="15"/>
  <c r="D38" i="15"/>
  <c r="C38" i="15"/>
  <c r="G37" i="15"/>
  <c r="H37" i="15" s="1"/>
  <c r="F37" i="15"/>
  <c r="E37" i="15"/>
  <c r="D37" i="15"/>
  <c r="C37" i="15"/>
  <c r="G36" i="15"/>
  <c r="F36" i="15"/>
  <c r="E36" i="15"/>
  <c r="D36" i="15"/>
  <c r="C36" i="15"/>
  <c r="G35" i="15"/>
  <c r="F35" i="15"/>
  <c r="H35" i="15" s="1"/>
  <c r="E35" i="15"/>
  <c r="D35" i="15"/>
  <c r="C35" i="15"/>
  <c r="G34" i="15"/>
  <c r="H34" i="15" s="1"/>
  <c r="F34" i="15"/>
  <c r="E34" i="15"/>
  <c r="D34" i="15"/>
  <c r="C34" i="15"/>
  <c r="G33" i="15"/>
  <c r="H33" i="15" s="1"/>
  <c r="I33" i="15" s="1"/>
  <c r="F33" i="15"/>
  <c r="E33" i="15"/>
  <c r="D33" i="15"/>
  <c r="C33" i="15"/>
  <c r="G32" i="15"/>
  <c r="F32" i="15"/>
  <c r="E32" i="15"/>
  <c r="D32" i="15"/>
  <c r="C32" i="15"/>
  <c r="G31" i="15"/>
  <c r="F31" i="15"/>
  <c r="H31" i="15" s="1"/>
  <c r="I31" i="15" s="1"/>
  <c r="E31" i="15"/>
  <c r="D31" i="15"/>
  <c r="C31" i="15"/>
  <c r="G30" i="15"/>
  <c r="H30" i="15" s="1"/>
  <c r="F30" i="15"/>
  <c r="E30" i="15"/>
  <c r="D30" i="15"/>
  <c r="C30" i="15"/>
  <c r="G29" i="15"/>
  <c r="H29" i="15" s="1"/>
  <c r="F29" i="15"/>
  <c r="E29" i="15"/>
  <c r="D29" i="15"/>
  <c r="C29" i="15"/>
  <c r="G28" i="15"/>
  <c r="F28" i="15"/>
  <c r="E28" i="15"/>
  <c r="D28" i="15"/>
  <c r="C28" i="15"/>
  <c r="G27" i="15"/>
  <c r="F27" i="15"/>
  <c r="E27" i="15"/>
  <c r="D27" i="15"/>
  <c r="C27" i="15"/>
  <c r="H26" i="15"/>
  <c r="G26" i="15"/>
  <c r="F26" i="15"/>
  <c r="E26" i="15"/>
  <c r="D26" i="15"/>
  <c r="C26" i="15"/>
  <c r="G25" i="15"/>
  <c r="H25" i="15" s="1"/>
  <c r="F25" i="15"/>
  <c r="E25" i="15"/>
  <c r="D25" i="15"/>
  <c r="C25" i="15"/>
  <c r="G24" i="15"/>
  <c r="F24" i="15"/>
  <c r="E24" i="15"/>
  <c r="D24" i="15"/>
  <c r="C24" i="15"/>
  <c r="G23" i="15"/>
  <c r="F23" i="15"/>
  <c r="E23" i="15"/>
  <c r="D23" i="15"/>
  <c r="C23" i="15"/>
  <c r="G22" i="15"/>
  <c r="H22" i="15" s="1"/>
  <c r="I22" i="15" s="1"/>
  <c r="F22" i="15"/>
  <c r="E22" i="15"/>
  <c r="D22" i="15"/>
  <c r="C22" i="15"/>
  <c r="G21" i="15"/>
  <c r="H21" i="15" s="1"/>
  <c r="F21" i="15"/>
  <c r="E21" i="15"/>
  <c r="D21" i="15"/>
  <c r="C21" i="15"/>
  <c r="G20" i="15"/>
  <c r="F20" i="15"/>
  <c r="E20" i="15"/>
  <c r="D20" i="15"/>
  <c r="C20" i="15"/>
  <c r="G19" i="15"/>
  <c r="F19" i="15"/>
  <c r="E19" i="15"/>
  <c r="D19" i="15"/>
  <c r="C19" i="15"/>
  <c r="G18" i="15"/>
  <c r="H18" i="15" s="1"/>
  <c r="F18" i="15"/>
  <c r="E18" i="15"/>
  <c r="D18" i="15"/>
  <c r="C18" i="15"/>
  <c r="G17" i="15"/>
  <c r="H17" i="15" s="1"/>
  <c r="F17" i="15"/>
  <c r="E17" i="15"/>
  <c r="D17" i="15"/>
  <c r="C17" i="15"/>
  <c r="G16" i="15"/>
  <c r="F16" i="15"/>
  <c r="H16" i="15" s="1"/>
  <c r="I16" i="15" s="1"/>
  <c r="E16" i="15"/>
  <c r="D16" i="15"/>
  <c r="C16" i="15"/>
  <c r="G15" i="15"/>
  <c r="F15" i="15"/>
  <c r="E15" i="15"/>
  <c r="D15" i="15"/>
  <c r="C15" i="15"/>
  <c r="G14" i="15"/>
  <c r="H14" i="15" s="1"/>
  <c r="I14" i="15" s="1"/>
  <c r="F14" i="15"/>
  <c r="E14" i="15"/>
  <c r="D14" i="15"/>
  <c r="C14" i="15"/>
  <c r="G13" i="15"/>
  <c r="F13" i="15"/>
  <c r="E13" i="15"/>
  <c r="D13" i="15"/>
  <c r="C13" i="15"/>
  <c r="G92" i="16" l="1"/>
  <c r="H15" i="15"/>
  <c r="I15" i="15" s="1"/>
  <c r="E67" i="15"/>
  <c r="G70" i="15"/>
  <c r="H70" i="15" s="1"/>
  <c r="H28" i="15"/>
  <c r="H44" i="15"/>
  <c r="I17" i="15"/>
  <c r="I49" i="15"/>
  <c r="H19" i="15"/>
  <c r="E71" i="15"/>
  <c r="E87" i="15"/>
  <c r="G87" i="15"/>
  <c r="E13" i="5"/>
  <c r="E52" i="5"/>
  <c r="E76" i="5"/>
  <c r="H20" i="15"/>
  <c r="I50" i="15"/>
  <c r="H87" i="15"/>
  <c r="I87" i="15" s="1"/>
  <c r="E99" i="5"/>
  <c r="H36" i="15"/>
  <c r="I69" i="15"/>
  <c r="H76" i="15"/>
  <c r="H32" i="15"/>
  <c r="I32" i="15" s="1"/>
  <c r="E68" i="5"/>
  <c r="E60" i="5"/>
  <c r="E44" i="5"/>
  <c r="E36" i="5"/>
  <c r="E28" i="5"/>
  <c r="E84" i="5"/>
  <c r="E20" i="5"/>
  <c r="E83" i="5"/>
  <c r="E75" i="5"/>
  <c r="E67" i="5"/>
  <c r="E59" i="5"/>
  <c r="E51" i="5"/>
  <c r="E43" i="5"/>
  <c r="E35" i="5"/>
  <c r="E27" i="5"/>
  <c r="E19" i="5"/>
  <c r="E90" i="5"/>
  <c r="E98" i="5" s="1"/>
  <c r="E82" i="5"/>
  <c r="E74" i="5"/>
  <c r="E66" i="5"/>
  <c r="E58" i="5"/>
  <c r="E50" i="5"/>
  <c r="E42" i="5"/>
  <c r="E34" i="5"/>
  <c r="E26" i="5"/>
  <c r="E18" i="5"/>
  <c r="E89" i="5"/>
  <c r="E81" i="5"/>
  <c r="E73" i="5"/>
  <c r="E65" i="5"/>
  <c r="E57" i="5"/>
  <c r="E49" i="5"/>
  <c r="E41" i="5"/>
  <c r="E33" i="5"/>
  <c r="E25" i="5"/>
  <c r="E17" i="5"/>
  <c r="E88" i="5"/>
  <c r="E80" i="5"/>
  <c r="E72" i="5"/>
  <c r="E64" i="5"/>
  <c r="E56" i="5"/>
  <c r="E48" i="5"/>
  <c r="E40" i="5"/>
  <c r="E32" i="5"/>
  <c r="E24" i="5"/>
  <c r="E16" i="5"/>
  <c r="E87" i="5"/>
  <c r="E79" i="5"/>
  <c r="E71" i="5"/>
  <c r="E63" i="5"/>
  <c r="E55" i="5"/>
  <c r="E47" i="5"/>
  <c r="E39" i="5"/>
  <c r="E31" i="5"/>
  <c r="E23" i="5"/>
  <c r="E15" i="5"/>
  <c r="E86" i="5"/>
  <c r="E78" i="5"/>
  <c r="E70" i="5"/>
  <c r="E62" i="5"/>
  <c r="E54" i="5"/>
  <c r="E46" i="5"/>
  <c r="E38" i="5"/>
  <c r="E30" i="5"/>
  <c r="E22" i="5"/>
  <c r="E14" i="5"/>
  <c r="E85" i="5"/>
  <c r="E77" i="5"/>
  <c r="E69" i="5"/>
  <c r="E61" i="5"/>
  <c r="E53" i="5"/>
  <c r="E45" i="5"/>
  <c r="E37" i="5"/>
  <c r="E29" i="5"/>
  <c r="E21" i="5"/>
  <c r="I30" i="15"/>
  <c r="I46" i="15"/>
  <c r="I21" i="15"/>
  <c r="I37" i="15"/>
  <c r="I61" i="15"/>
  <c r="I66" i="15"/>
  <c r="I25" i="15"/>
  <c r="I41" i="15"/>
  <c r="H80" i="15"/>
  <c r="E82" i="15"/>
  <c r="I18" i="15"/>
  <c r="E90" i="15"/>
  <c r="E98" i="15" s="1"/>
  <c r="H24" i="15"/>
  <c r="I24" i="15" s="1"/>
  <c r="H27" i="15"/>
  <c r="I27" i="15" s="1"/>
  <c r="H40" i="15"/>
  <c r="I40" i="15" s="1"/>
  <c r="H43" i="15"/>
  <c r="I43" i="15" s="1"/>
  <c r="H68" i="15"/>
  <c r="H71" i="15"/>
  <c r="G84" i="15"/>
  <c r="H84" i="15" s="1"/>
  <c r="I84" i="15" s="1"/>
  <c r="I26" i="15"/>
  <c r="I29" i="15"/>
  <c r="H75" i="15"/>
  <c r="I75" i="15" s="1"/>
  <c r="I42" i="15"/>
  <c r="H79" i="15"/>
  <c r="I79" i="15" s="1"/>
  <c r="I34" i="15"/>
  <c r="I45" i="15"/>
  <c r="I19" i="15"/>
  <c r="H23" i="15"/>
  <c r="I23" i="15" s="1"/>
  <c r="I35" i="15"/>
  <c r="H39" i="15"/>
  <c r="I39" i="15" s="1"/>
  <c r="H48" i="15"/>
  <c r="H51" i="15"/>
  <c r="I51" i="15" s="1"/>
  <c r="I53" i="15"/>
  <c r="I57" i="15"/>
  <c r="I67" i="15"/>
  <c r="H83" i="15"/>
  <c r="I28" i="15"/>
  <c r="I44" i="15"/>
  <c r="I59" i="15"/>
  <c r="I20" i="15"/>
  <c r="I36" i="15"/>
  <c r="E65" i="15"/>
  <c r="I65" i="15" s="1"/>
  <c r="E73" i="15"/>
  <c r="I73" i="15" s="1"/>
  <c r="E81" i="15"/>
  <c r="I81" i="15" s="1"/>
  <c r="E89" i="15"/>
  <c r="I89" i="15" s="1"/>
  <c r="E48" i="15"/>
  <c r="I48" i="15" s="1"/>
  <c r="E56" i="15"/>
  <c r="I56" i="15" s="1"/>
  <c r="E64" i="15"/>
  <c r="I64" i="15" s="1"/>
  <c r="E72" i="15"/>
  <c r="I72" i="15" s="1"/>
  <c r="G74" i="15"/>
  <c r="H74" i="15" s="1"/>
  <c r="I74" i="15" s="1"/>
  <c r="E80" i="15"/>
  <c r="G82" i="15"/>
  <c r="H82" i="15" s="1"/>
  <c r="E88" i="15"/>
  <c r="G90" i="15"/>
  <c r="H90" i="15" s="1"/>
  <c r="H13" i="15"/>
  <c r="I13" i="15" s="1"/>
  <c r="E62" i="15"/>
  <c r="I62" i="15" s="1"/>
  <c r="E70" i="15"/>
  <c r="I70" i="15" s="1"/>
  <c r="E78" i="15"/>
  <c r="E86" i="15"/>
  <c r="I86" i="15" s="1"/>
  <c r="G88" i="15"/>
  <c r="H88" i="15" s="1"/>
  <c r="E77" i="15"/>
  <c r="I77" i="15" s="1"/>
  <c r="E85" i="15"/>
  <c r="I85" i="15" s="1"/>
  <c r="E52" i="15"/>
  <c r="I52" i="15" s="1"/>
  <c r="E60" i="15"/>
  <c r="I60" i="15" s="1"/>
  <c r="E68" i="15"/>
  <c r="E76" i="15"/>
  <c r="G78" i="15"/>
  <c r="H78" i="15" s="1"/>
  <c r="D112" i="14"/>
  <c r="C112" i="14"/>
  <c r="E111" i="14"/>
  <c r="F111" i="14" s="1"/>
  <c r="G110" i="14"/>
  <c r="E110" i="14"/>
  <c r="F110" i="14" s="1"/>
  <c r="H109" i="14"/>
  <c r="E109" i="14"/>
  <c r="F109" i="14" s="1"/>
  <c r="F108" i="14"/>
  <c r="E108" i="14"/>
  <c r="G108" i="14" s="1"/>
  <c r="H107" i="14"/>
  <c r="E107" i="14"/>
  <c r="G107" i="14" s="1"/>
  <c r="G106" i="14"/>
  <c r="E106" i="14"/>
  <c r="F106" i="14" s="1"/>
  <c r="E105" i="14"/>
  <c r="G105" i="14" s="1"/>
  <c r="G104" i="14"/>
  <c r="F104" i="14"/>
  <c r="G103" i="14"/>
  <c r="E103" i="14"/>
  <c r="F103" i="14" s="1"/>
  <c r="E102" i="14"/>
  <c r="G102" i="14" s="1"/>
  <c r="E101" i="14"/>
  <c r="F101" i="14" s="1"/>
  <c r="F100" i="14"/>
  <c r="E100" i="14"/>
  <c r="G100" i="14" s="1"/>
  <c r="E99" i="14"/>
  <c r="E112" i="14" s="1"/>
  <c r="D97" i="14"/>
  <c r="C97" i="14"/>
  <c r="E96" i="14"/>
  <c r="G96" i="14" s="1"/>
  <c r="G95" i="14"/>
  <c r="F95" i="14"/>
  <c r="F94" i="14"/>
  <c r="E94" i="14"/>
  <c r="G94" i="14" s="1"/>
  <c r="G93" i="14"/>
  <c r="F93" i="14"/>
  <c r="E92" i="14"/>
  <c r="F92" i="14" s="1"/>
  <c r="F91" i="14"/>
  <c r="E91" i="14"/>
  <c r="G91" i="14" s="1"/>
  <c r="E90" i="14"/>
  <c r="G90" i="14" s="1"/>
  <c r="G89" i="14"/>
  <c r="F89" i="14"/>
  <c r="E89" i="14"/>
  <c r="G88" i="14"/>
  <c r="E88" i="14"/>
  <c r="F88" i="14" s="1"/>
  <c r="G87" i="14"/>
  <c r="J87" i="14" s="1"/>
  <c r="K87" i="14" s="1"/>
  <c r="F87" i="14"/>
  <c r="E87" i="14"/>
  <c r="G86" i="14"/>
  <c r="E86" i="14"/>
  <c r="F86" i="14" s="1"/>
  <c r="D84" i="14"/>
  <c r="G84" i="14" s="1"/>
  <c r="C84" i="14"/>
  <c r="G83" i="14"/>
  <c r="E83" i="14"/>
  <c r="F83" i="14" s="1"/>
  <c r="E82" i="14"/>
  <c r="G82" i="14" s="1"/>
  <c r="G81" i="14"/>
  <c r="E81" i="14"/>
  <c r="F81" i="14" s="1"/>
  <c r="E80" i="14"/>
  <c r="G80" i="14" s="1"/>
  <c r="G79" i="14"/>
  <c r="F79" i="14"/>
  <c r="G78" i="14"/>
  <c r="E78" i="14"/>
  <c r="F78" i="14" s="1"/>
  <c r="E77" i="14"/>
  <c r="G77" i="14" s="1"/>
  <c r="E76" i="14"/>
  <c r="F76" i="14" s="1"/>
  <c r="F75" i="14"/>
  <c r="E75" i="14"/>
  <c r="G75" i="14" s="1"/>
  <c r="E74" i="14"/>
  <c r="G74" i="14" s="1"/>
  <c r="G73" i="14"/>
  <c r="F73" i="14"/>
  <c r="E73" i="14"/>
  <c r="G72" i="14"/>
  <c r="E72" i="14"/>
  <c r="F72" i="14" s="1"/>
  <c r="E71" i="14"/>
  <c r="E84" i="14" s="1"/>
  <c r="F84" i="14" s="1"/>
  <c r="G70" i="14"/>
  <c r="E70" i="14"/>
  <c r="F70" i="14" s="1"/>
  <c r="E69" i="14"/>
  <c r="G69" i="14" s="1"/>
  <c r="D63" i="14"/>
  <c r="C63" i="14"/>
  <c r="E62" i="14"/>
  <c r="G62" i="14" s="1"/>
  <c r="G61" i="14"/>
  <c r="F61" i="14"/>
  <c r="G60" i="14"/>
  <c r="E60" i="14"/>
  <c r="F60" i="14" s="1"/>
  <c r="E59" i="14"/>
  <c r="G59" i="14" s="1"/>
  <c r="G58" i="14"/>
  <c r="F58" i="14"/>
  <c r="G57" i="14"/>
  <c r="E57" i="14"/>
  <c r="F57" i="14" s="1"/>
  <c r="E56" i="14"/>
  <c r="G56" i="14" s="1"/>
  <c r="E55" i="14"/>
  <c r="F55" i="14" s="1"/>
  <c r="G54" i="14"/>
  <c r="F54" i="14"/>
  <c r="E54" i="14"/>
  <c r="E53" i="14"/>
  <c r="F53" i="14" s="1"/>
  <c r="G52" i="14"/>
  <c r="F52" i="14"/>
  <c r="E52" i="14"/>
  <c r="G51" i="14"/>
  <c r="E51" i="14"/>
  <c r="F51" i="14" s="1"/>
  <c r="E50" i="14"/>
  <c r="F50" i="14" s="1"/>
  <c r="G49" i="14"/>
  <c r="E49" i="14"/>
  <c r="F49" i="14" s="1"/>
  <c r="D47" i="14"/>
  <c r="G47" i="14" s="1"/>
  <c r="C47" i="14"/>
  <c r="G46" i="14"/>
  <c r="E46" i="14"/>
  <c r="F46" i="14" s="1"/>
  <c r="E45" i="14"/>
  <c r="G45" i="14" s="1"/>
  <c r="E44" i="14"/>
  <c r="F44" i="14" s="1"/>
  <c r="G43" i="14"/>
  <c r="F43" i="14"/>
  <c r="E43" i="14"/>
  <c r="E42" i="14"/>
  <c r="G42" i="14" s="1"/>
  <c r="G41" i="14"/>
  <c r="F41" i="14"/>
  <c r="E41" i="14"/>
  <c r="G40" i="14"/>
  <c r="E40" i="14"/>
  <c r="F40" i="14" s="1"/>
  <c r="E39" i="14"/>
  <c r="G39" i="14" s="1"/>
  <c r="G38" i="14"/>
  <c r="E38" i="14"/>
  <c r="F38" i="14" s="1"/>
  <c r="E37" i="14"/>
  <c r="G37" i="14" s="1"/>
  <c r="E36" i="14"/>
  <c r="F36" i="14" s="1"/>
  <c r="G35" i="14"/>
  <c r="F35" i="14"/>
  <c r="E35" i="14"/>
  <c r="E34" i="14"/>
  <c r="E47" i="14" s="1"/>
  <c r="F47" i="14" s="1"/>
  <c r="G33" i="14"/>
  <c r="F33" i="14"/>
  <c r="E33" i="14"/>
  <c r="D31" i="14"/>
  <c r="D114" i="14" s="1"/>
  <c r="C31" i="14"/>
  <c r="C114" i="14" s="1"/>
  <c r="G30" i="14"/>
  <c r="F30" i="14"/>
  <c r="E30" i="14"/>
  <c r="G29" i="14"/>
  <c r="E29" i="14"/>
  <c r="F29" i="14" s="1"/>
  <c r="E28" i="14"/>
  <c r="F28" i="14" s="1"/>
  <c r="G27" i="14"/>
  <c r="E27" i="14"/>
  <c r="F27" i="14" s="1"/>
  <c r="E26" i="14"/>
  <c r="G26" i="14" s="1"/>
  <c r="E25" i="14"/>
  <c r="G25" i="14" s="1"/>
  <c r="G24" i="14"/>
  <c r="F24" i="14"/>
  <c r="E24" i="14"/>
  <c r="E23" i="14"/>
  <c r="G23" i="14" s="1"/>
  <c r="G22" i="14"/>
  <c r="F22" i="14"/>
  <c r="E22" i="14"/>
  <c r="G21" i="14"/>
  <c r="E21" i="14"/>
  <c r="F21" i="14" s="1"/>
  <c r="E20" i="14"/>
  <c r="F20" i="14" s="1"/>
  <c r="G19" i="14"/>
  <c r="E19" i="14"/>
  <c r="F19" i="14" s="1"/>
  <c r="E18" i="14"/>
  <c r="G18" i="14" s="1"/>
  <c r="E17" i="14"/>
  <c r="G17" i="14" s="1"/>
  <c r="G16" i="14"/>
  <c r="F16" i="14"/>
  <c r="E15" i="14"/>
  <c r="G15" i="14" s="1"/>
  <c r="E14" i="14"/>
  <c r="G14" i="14" s="1"/>
  <c r="F13" i="14"/>
  <c r="E13" i="14"/>
  <c r="G13" i="14" s="1"/>
  <c r="E12" i="14"/>
  <c r="G12" i="14" s="1"/>
  <c r="G11" i="14"/>
  <c r="F11" i="14"/>
  <c r="E11" i="14"/>
  <c r="G10" i="14"/>
  <c r="E10" i="14"/>
  <c r="F10" i="14" s="1"/>
  <c r="E9" i="14"/>
  <c r="F9" i="14" s="1"/>
  <c r="G8" i="14"/>
  <c r="E8" i="14"/>
  <c r="E31" i="14" s="1"/>
  <c r="I71" i="15" l="1"/>
  <c r="I82" i="15"/>
  <c r="I78" i="15"/>
  <c r="I76" i="15"/>
  <c r="E92" i="5"/>
  <c r="I90" i="15"/>
  <c r="I68" i="15"/>
  <c r="I80" i="15"/>
  <c r="E92" i="15"/>
  <c r="I88" i="15"/>
  <c r="I92" i="15" s="1"/>
  <c r="G92" i="15"/>
  <c r="H92" i="15"/>
  <c r="E100" i="15" s="1"/>
  <c r="F112" i="14"/>
  <c r="G112" i="14"/>
  <c r="F31" i="14"/>
  <c r="G31" i="14"/>
  <c r="E63" i="14"/>
  <c r="F14" i="14"/>
  <c r="F25" i="14"/>
  <c r="F8" i="14"/>
  <c r="E97" i="14"/>
  <c r="H110" i="14"/>
  <c r="H111" i="14" s="1"/>
  <c r="H113" i="14" s="1"/>
  <c r="F17" i="14"/>
  <c r="G55" i="14"/>
  <c r="F82" i="14"/>
  <c r="G92" i="14"/>
  <c r="G101" i="14"/>
  <c r="F107" i="14"/>
  <c r="G109" i="14"/>
  <c r="G111" i="14"/>
  <c r="F39" i="14"/>
  <c r="G44" i="14"/>
  <c r="G76" i="14"/>
  <c r="G9" i="14"/>
  <c r="F12" i="14"/>
  <c r="G20" i="14"/>
  <c r="F23" i="14"/>
  <c r="G28" i="14"/>
  <c r="F34" i="14"/>
  <c r="F42" i="14"/>
  <c r="G50" i="14"/>
  <c r="G71" i="14"/>
  <c r="F74" i="14"/>
  <c r="F90" i="14"/>
  <c r="F96" i="14"/>
  <c r="F15" i="14"/>
  <c r="F18" i="14"/>
  <c r="F26" i="14"/>
  <c r="G34" i="14"/>
  <c r="F37" i="14"/>
  <c r="F45" i="14"/>
  <c r="G53" i="14"/>
  <c r="F56" i="14"/>
  <c r="F59" i="14"/>
  <c r="F62" i="14"/>
  <c r="F69" i="14"/>
  <c r="F77" i="14"/>
  <c r="F80" i="14"/>
  <c r="G99" i="14"/>
  <c r="F102" i="14"/>
  <c r="F105" i="14"/>
  <c r="G36" i="14"/>
  <c r="F71" i="14"/>
  <c r="F99" i="14"/>
  <c r="E76" i="6"/>
  <c r="E60" i="6"/>
  <c r="E39" i="6"/>
  <c r="E38" i="6"/>
  <c r="E36" i="6"/>
  <c r="E35" i="6"/>
  <c r="E34" i="6"/>
  <c r="E104" i="15" l="1"/>
  <c r="E96" i="15"/>
  <c r="G63" i="14"/>
  <c r="F63" i="14"/>
  <c r="E114" i="14"/>
  <c r="G97" i="14"/>
  <c r="F97" i="14"/>
  <c r="D13" i="12"/>
  <c r="F114" i="14" l="1"/>
  <c r="G114" i="14"/>
  <c r="E99" i="12"/>
  <c r="G90" i="12" s="1"/>
  <c r="E97" i="12"/>
  <c r="E90" i="12" s="1"/>
  <c r="D90" i="12"/>
  <c r="C90" i="12"/>
  <c r="D89" i="12"/>
  <c r="C89" i="12"/>
  <c r="D88" i="12"/>
  <c r="C88" i="12"/>
  <c r="D87" i="12"/>
  <c r="C87" i="12"/>
  <c r="D86" i="12"/>
  <c r="C86" i="12"/>
  <c r="D85" i="12"/>
  <c r="C85" i="12"/>
  <c r="D84" i="12"/>
  <c r="C84" i="12"/>
  <c r="D83" i="12"/>
  <c r="C83" i="12"/>
  <c r="D82" i="12"/>
  <c r="C82" i="12"/>
  <c r="D81" i="12"/>
  <c r="C81" i="12"/>
  <c r="D80" i="12"/>
  <c r="C80" i="12"/>
  <c r="D79" i="12"/>
  <c r="C79" i="12"/>
  <c r="D78" i="12"/>
  <c r="C78" i="12"/>
  <c r="D77" i="12"/>
  <c r="C77" i="12"/>
  <c r="D76" i="12"/>
  <c r="C76" i="12"/>
  <c r="D75" i="12"/>
  <c r="C75" i="12"/>
  <c r="D74" i="12"/>
  <c r="C74" i="12"/>
  <c r="D73" i="12"/>
  <c r="C73" i="12"/>
  <c r="D72" i="12"/>
  <c r="C72" i="12"/>
  <c r="D71" i="12"/>
  <c r="C71" i="12"/>
  <c r="D70" i="12"/>
  <c r="C70" i="12"/>
  <c r="D69" i="12"/>
  <c r="C69" i="12"/>
  <c r="D68" i="12"/>
  <c r="C68" i="12"/>
  <c r="D67" i="12"/>
  <c r="C67" i="12"/>
  <c r="D66" i="12"/>
  <c r="C66" i="12"/>
  <c r="D65" i="12"/>
  <c r="C65" i="12"/>
  <c r="D64" i="12"/>
  <c r="C64" i="12"/>
  <c r="D63" i="12"/>
  <c r="C63" i="12"/>
  <c r="D62" i="12"/>
  <c r="C62" i="12"/>
  <c r="D61" i="12"/>
  <c r="C61" i="12"/>
  <c r="D60" i="12"/>
  <c r="C60" i="12"/>
  <c r="D59" i="12"/>
  <c r="C59" i="12"/>
  <c r="E58" i="12"/>
  <c r="D58" i="12"/>
  <c r="C58" i="12"/>
  <c r="D57" i="12"/>
  <c r="C57" i="12"/>
  <c r="D56" i="12"/>
  <c r="C56" i="12"/>
  <c r="D55" i="12"/>
  <c r="C55" i="12"/>
  <c r="D54" i="12"/>
  <c r="C54" i="12"/>
  <c r="D53" i="12"/>
  <c r="C53" i="12"/>
  <c r="E52" i="12"/>
  <c r="D52" i="12"/>
  <c r="C52" i="12"/>
  <c r="D51" i="12"/>
  <c r="C51" i="12"/>
  <c r="D50" i="12"/>
  <c r="C50" i="12"/>
  <c r="D49" i="12"/>
  <c r="C49" i="12"/>
  <c r="E48" i="12"/>
  <c r="D48" i="12"/>
  <c r="C48" i="12"/>
  <c r="D47" i="12"/>
  <c r="C47" i="12"/>
  <c r="D46" i="12"/>
  <c r="C46" i="12"/>
  <c r="D45" i="12"/>
  <c r="C45" i="12"/>
  <c r="D44" i="12"/>
  <c r="C44" i="12"/>
  <c r="D43" i="12"/>
  <c r="C43" i="12"/>
  <c r="E42" i="12"/>
  <c r="D42" i="12"/>
  <c r="C42" i="12"/>
  <c r="D41" i="12"/>
  <c r="C41" i="12"/>
  <c r="D40" i="12"/>
  <c r="C40" i="12"/>
  <c r="D39" i="12"/>
  <c r="C39" i="12"/>
  <c r="D38" i="12"/>
  <c r="C38" i="12"/>
  <c r="D37" i="12"/>
  <c r="C37" i="12"/>
  <c r="E36" i="12"/>
  <c r="D36" i="12"/>
  <c r="C36" i="12"/>
  <c r="D35" i="12"/>
  <c r="C35" i="12"/>
  <c r="D34" i="12"/>
  <c r="C34" i="12"/>
  <c r="D33" i="12"/>
  <c r="C33" i="12"/>
  <c r="D32" i="12"/>
  <c r="C32" i="12"/>
  <c r="D31" i="12"/>
  <c r="C31" i="12"/>
  <c r="E30" i="12"/>
  <c r="D30" i="12"/>
  <c r="C30" i="12"/>
  <c r="D29" i="12"/>
  <c r="C29" i="12"/>
  <c r="D28" i="12"/>
  <c r="C28" i="12"/>
  <c r="D27" i="12"/>
  <c r="C27" i="12"/>
  <c r="D26" i="12"/>
  <c r="C26" i="12"/>
  <c r="D25" i="12"/>
  <c r="C25" i="12"/>
  <c r="E24" i="12"/>
  <c r="D24" i="12"/>
  <c r="C24" i="12"/>
  <c r="D23" i="12"/>
  <c r="C23" i="12"/>
  <c r="D22" i="12"/>
  <c r="C22" i="12"/>
  <c r="D21" i="12"/>
  <c r="C21" i="12"/>
  <c r="D20" i="12"/>
  <c r="C20" i="12"/>
  <c r="D19" i="12"/>
  <c r="C19" i="12"/>
  <c r="E18" i="12"/>
  <c r="D18" i="12"/>
  <c r="C18" i="12"/>
  <c r="D17" i="12"/>
  <c r="C17" i="12"/>
  <c r="D16" i="12"/>
  <c r="C16" i="12"/>
  <c r="D15" i="12"/>
  <c r="C15" i="12"/>
  <c r="D14" i="12"/>
  <c r="C14" i="12"/>
  <c r="C13" i="12"/>
  <c r="G17" i="5"/>
  <c r="E81" i="6"/>
  <c r="F6" i="6" s="1"/>
  <c r="G60" i="12" l="1"/>
  <c r="G36" i="12"/>
  <c r="E54" i="12"/>
  <c r="G82" i="12"/>
  <c r="G28" i="12"/>
  <c r="E44" i="12"/>
  <c r="E56" i="12"/>
  <c r="E62" i="12"/>
  <c r="E20" i="12"/>
  <c r="E26" i="12"/>
  <c r="E32" i="12"/>
  <c r="E38" i="12"/>
  <c r="G44" i="12"/>
  <c r="G66" i="12"/>
  <c r="E28" i="12"/>
  <c r="E34" i="12"/>
  <c r="E40" i="12"/>
  <c r="E46" i="12"/>
  <c r="G52" i="12"/>
  <c r="G72" i="12"/>
  <c r="E16" i="12"/>
  <c r="E22" i="12"/>
  <c r="E50" i="12"/>
  <c r="G84" i="12"/>
  <c r="E14" i="12"/>
  <c r="G20" i="12"/>
  <c r="E60" i="12"/>
  <c r="G88" i="12"/>
  <c r="G18" i="12"/>
  <c r="G26" i="12"/>
  <c r="G34" i="12"/>
  <c r="G42" i="12"/>
  <c r="G50" i="12"/>
  <c r="G58" i="12"/>
  <c r="G74" i="12"/>
  <c r="G16" i="12"/>
  <c r="G24" i="12"/>
  <c r="G32" i="12"/>
  <c r="G40" i="12"/>
  <c r="G48" i="12"/>
  <c r="G56" i="12"/>
  <c r="G68" i="12"/>
  <c r="G14" i="12"/>
  <c r="G22" i="12"/>
  <c r="G30" i="12"/>
  <c r="G38" i="12"/>
  <c r="G46" i="12"/>
  <c r="G54" i="12"/>
  <c r="G62" i="12"/>
  <c r="G78" i="12"/>
  <c r="G76" i="12"/>
  <c r="G70" i="12"/>
  <c r="G86" i="12"/>
  <c r="G64" i="12"/>
  <c r="G80" i="12"/>
  <c r="G75" i="5"/>
  <c r="G87" i="5"/>
  <c r="E84" i="12"/>
  <c r="G90" i="5"/>
  <c r="G71" i="5"/>
  <c r="G38" i="5"/>
  <c r="E66" i="12"/>
  <c r="E82" i="12"/>
  <c r="G46" i="5"/>
  <c r="G42" i="5"/>
  <c r="G86" i="5"/>
  <c r="G83" i="5"/>
  <c r="G66" i="5"/>
  <c r="G34" i="5"/>
  <c r="E13" i="12"/>
  <c r="E15" i="12"/>
  <c r="E17" i="12"/>
  <c r="E19" i="12"/>
  <c r="E21" i="12"/>
  <c r="E23" i="12"/>
  <c r="E25" i="12"/>
  <c r="E27" i="12"/>
  <c r="E29" i="12"/>
  <c r="E31" i="12"/>
  <c r="E33" i="12"/>
  <c r="E35" i="12"/>
  <c r="E37" i="12"/>
  <c r="E39" i="12"/>
  <c r="E41" i="12"/>
  <c r="E43" i="12"/>
  <c r="E45" i="12"/>
  <c r="E47" i="12"/>
  <c r="E49" i="12"/>
  <c r="E51" i="12"/>
  <c r="E53" i="12"/>
  <c r="E55" i="12"/>
  <c r="E57" i="12"/>
  <c r="E59" i="12"/>
  <c r="E61" i="12"/>
  <c r="E63" i="12"/>
  <c r="E65" i="12"/>
  <c r="E67" i="12"/>
  <c r="E69" i="12"/>
  <c r="E71" i="12"/>
  <c r="E73" i="12"/>
  <c r="E75" i="12"/>
  <c r="E77" i="12"/>
  <c r="E79" i="12"/>
  <c r="E81" i="12"/>
  <c r="E83" i="12"/>
  <c r="E85" i="12"/>
  <c r="E87" i="12"/>
  <c r="E89" i="12"/>
  <c r="G22" i="5"/>
  <c r="E70" i="12"/>
  <c r="E74" i="12"/>
  <c r="E88" i="12"/>
  <c r="G70" i="5"/>
  <c r="G82" i="5"/>
  <c r="G62" i="5"/>
  <c r="G30" i="5"/>
  <c r="G13" i="12"/>
  <c r="G15" i="12"/>
  <c r="G17" i="12"/>
  <c r="G19" i="12"/>
  <c r="G21" i="12"/>
  <c r="G23" i="12"/>
  <c r="G25" i="12"/>
  <c r="G27" i="12"/>
  <c r="G29" i="12"/>
  <c r="G31" i="12"/>
  <c r="G33" i="12"/>
  <c r="G35" i="12"/>
  <c r="G37" i="12"/>
  <c r="G39" i="12"/>
  <c r="G41" i="12"/>
  <c r="G43" i="12"/>
  <c r="G45" i="12"/>
  <c r="G47" i="12"/>
  <c r="G49" i="12"/>
  <c r="G51" i="12"/>
  <c r="G53" i="12"/>
  <c r="G55" i="12"/>
  <c r="G57" i="12"/>
  <c r="G59" i="12"/>
  <c r="G61" i="12"/>
  <c r="G63" i="12"/>
  <c r="G65" i="12"/>
  <c r="G67" i="12"/>
  <c r="G69" i="12"/>
  <c r="G71" i="12"/>
  <c r="G73" i="12"/>
  <c r="G75" i="12"/>
  <c r="G77" i="12"/>
  <c r="G79" i="12"/>
  <c r="G81" i="12"/>
  <c r="G83" i="12"/>
  <c r="G85" i="12"/>
  <c r="G87" i="12"/>
  <c r="G89" i="12"/>
  <c r="G78" i="5"/>
  <c r="G13" i="5"/>
  <c r="H13" i="5" s="1"/>
  <c r="G50" i="5"/>
  <c r="E68" i="12"/>
  <c r="E80" i="12"/>
  <c r="G79" i="5"/>
  <c r="G58" i="5"/>
  <c r="G26" i="5"/>
  <c r="G54" i="5"/>
  <c r="G18" i="5"/>
  <c r="E64" i="12"/>
  <c r="E72" i="12"/>
  <c r="E76" i="12"/>
  <c r="E78" i="12"/>
  <c r="E86" i="12"/>
  <c r="G74" i="5"/>
  <c r="G14" i="5"/>
  <c r="G67" i="5"/>
  <c r="G63" i="5"/>
  <c r="G59" i="5"/>
  <c r="G55" i="5"/>
  <c r="G51" i="5"/>
  <c r="G47" i="5"/>
  <c r="G43" i="5"/>
  <c r="G39" i="5"/>
  <c r="G35" i="5"/>
  <c r="G31" i="5"/>
  <c r="G27" i="5"/>
  <c r="G23" i="5"/>
  <c r="G19" i="5"/>
  <c r="G15" i="5"/>
  <c r="G88" i="5"/>
  <c r="G84" i="5"/>
  <c r="G80" i="5"/>
  <c r="G76" i="5"/>
  <c r="G72" i="5"/>
  <c r="G68" i="5"/>
  <c r="G64" i="5"/>
  <c r="G60" i="5"/>
  <c r="G56" i="5"/>
  <c r="G52" i="5"/>
  <c r="G48" i="5"/>
  <c r="G44" i="5"/>
  <c r="G40" i="5"/>
  <c r="G36" i="5"/>
  <c r="G32" i="5"/>
  <c r="G28" i="5"/>
  <c r="G24" i="5"/>
  <c r="G20" i="5"/>
  <c r="G16" i="5"/>
  <c r="G89" i="5"/>
  <c r="G85" i="5"/>
  <c r="G81" i="5"/>
  <c r="G77" i="5"/>
  <c r="G73" i="5"/>
  <c r="G69" i="5"/>
  <c r="G65" i="5"/>
  <c r="G61" i="5"/>
  <c r="G57" i="5"/>
  <c r="G53" i="5"/>
  <c r="G49" i="5"/>
  <c r="G45" i="5"/>
  <c r="G41" i="5"/>
  <c r="G37" i="5"/>
  <c r="G33" i="5"/>
  <c r="G29" i="5"/>
  <c r="G25" i="5"/>
  <c r="G21" i="5"/>
  <c r="F52" i="6"/>
  <c r="F63" i="5" s="1"/>
  <c r="F60" i="6"/>
  <c r="F71" i="5" s="1"/>
  <c r="H71" i="5" s="1"/>
  <c r="F28" i="6"/>
  <c r="F39" i="5" s="1"/>
  <c r="H39" i="5" s="1"/>
  <c r="F44" i="6"/>
  <c r="F55" i="5" s="1"/>
  <c r="F20" i="6"/>
  <c r="F31" i="5" s="1"/>
  <c r="F76" i="6"/>
  <c r="F87" i="5" s="1"/>
  <c r="H87" i="5" s="1"/>
  <c r="F68" i="6"/>
  <c r="F79" i="5" s="1"/>
  <c r="H79" i="5" s="1"/>
  <c r="F36" i="6"/>
  <c r="F47" i="5" s="1"/>
  <c r="F4" i="6"/>
  <c r="F15" i="5" s="1"/>
  <c r="F12" i="6"/>
  <c r="F23" i="5" s="1"/>
  <c r="F77" i="6"/>
  <c r="F88" i="12" s="1"/>
  <c r="H88" i="12" s="1"/>
  <c r="F61" i="6"/>
  <c r="F72" i="12" s="1"/>
  <c r="H72" i="12" s="1"/>
  <c r="F45" i="6"/>
  <c r="F56" i="12" s="1"/>
  <c r="F29" i="6"/>
  <c r="F40" i="12" s="1"/>
  <c r="H40" i="12" s="1"/>
  <c r="I40" i="12" s="1"/>
  <c r="F21" i="6"/>
  <c r="F32" i="12" s="1"/>
  <c r="H32" i="12" s="1"/>
  <c r="I32" i="12" s="1"/>
  <c r="F5" i="6"/>
  <c r="F16" i="12" s="1"/>
  <c r="H16" i="12" s="1"/>
  <c r="F2" i="6"/>
  <c r="F13" i="12" s="1"/>
  <c r="F72" i="6"/>
  <c r="F83" i="5" s="1"/>
  <c r="F64" i="6"/>
  <c r="F75" i="5" s="1"/>
  <c r="F56" i="6"/>
  <c r="F67" i="5" s="1"/>
  <c r="F48" i="6"/>
  <c r="F59" i="5" s="1"/>
  <c r="F40" i="6"/>
  <c r="F51" i="5" s="1"/>
  <c r="F32" i="6"/>
  <c r="F43" i="5" s="1"/>
  <c r="F24" i="6"/>
  <c r="F35" i="5" s="1"/>
  <c r="F16" i="6"/>
  <c r="F27" i="5" s="1"/>
  <c r="F8" i="6"/>
  <c r="F19" i="5" s="1"/>
  <c r="H19" i="5" s="1"/>
  <c r="F69" i="6"/>
  <c r="F80" i="12" s="1"/>
  <c r="F53" i="6"/>
  <c r="F64" i="12" s="1"/>
  <c r="F37" i="6"/>
  <c r="F48" i="12" s="1"/>
  <c r="F13" i="6"/>
  <c r="F24" i="12" s="1"/>
  <c r="H24" i="12" s="1"/>
  <c r="I24" i="12" s="1"/>
  <c r="F73" i="6"/>
  <c r="F84" i="12" s="1"/>
  <c r="H84" i="12" s="1"/>
  <c r="I84" i="12" s="1"/>
  <c r="F65" i="6"/>
  <c r="F76" i="12" s="1"/>
  <c r="H76" i="12" s="1"/>
  <c r="F57" i="6"/>
  <c r="F68" i="12" s="1"/>
  <c r="H68" i="12" s="1"/>
  <c r="I68" i="12" s="1"/>
  <c r="F49" i="6"/>
  <c r="F60" i="12" s="1"/>
  <c r="H60" i="12" s="1"/>
  <c r="I60" i="12" s="1"/>
  <c r="F41" i="6"/>
  <c r="F52" i="12" s="1"/>
  <c r="H52" i="12" s="1"/>
  <c r="I52" i="12" s="1"/>
  <c r="F33" i="6"/>
  <c r="F44" i="12" s="1"/>
  <c r="F25" i="6"/>
  <c r="F36" i="12" s="1"/>
  <c r="F17" i="6"/>
  <c r="F28" i="12" s="1"/>
  <c r="H28" i="12" s="1"/>
  <c r="I28" i="12" s="1"/>
  <c r="F9" i="6"/>
  <c r="F20" i="12" s="1"/>
  <c r="H20" i="12" s="1"/>
  <c r="I20" i="12" s="1"/>
  <c r="F17" i="12"/>
  <c r="H17" i="12" s="1"/>
  <c r="F17" i="5"/>
  <c r="H17" i="5" s="1"/>
  <c r="F79" i="6"/>
  <c r="F75" i="6"/>
  <c r="F71" i="6"/>
  <c r="F67" i="6"/>
  <c r="F63" i="6"/>
  <c r="F59" i="6"/>
  <c r="F55" i="6"/>
  <c r="F51" i="6"/>
  <c r="F47" i="6"/>
  <c r="F43" i="6"/>
  <c r="F39" i="6"/>
  <c r="F35" i="6"/>
  <c r="F31" i="6"/>
  <c r="F27" i="6"/>
  <c r="F23" i="6"/>
  <c r="F19" i="6"/>
  <c r="F15" i="6"/>
  <c r="F11" i="6"/>
  <c r="F7" i="6"/>
  <c r="F3" i="6"/>
  <c r="F78" i="6"/>
  <c r="F74" i="6"/>
  <c r="F70" i="6"/>
  <c r="F66" i="6"/>
  <c r="F62" i="6"/>
  <c r="F58" i="6"/>
  <c r="F54" i="6"/>
  <c r="F50" i="6"/>
  <c r="F46" i="6"/>
  <c r="F42" i="6"/>
  <c r="F38" i="6"/>
  <c r="F34" i="6"/>
  <c r="F30" i="6"/>
  <c r="F26" i="6"/>
  <c r="F22" i="6"/>
  <c r="F18" i="6"/>
  <c r="F14" i="6"/>
  <c r="F10" i="6"/>
  <c r="E98" i="12"/>
  <c r="H51" i="5" l="1"/>
  <c r="H75" i="5"/>
  <c r="H23" i="5"/>
  <c r="H35" i="5"/>
  <c r="H47" i="5"/>
  <c r="H67" i="5"/>
  <c r="H55" i="5"/>
  <c r="H27" i="5"/>
  <c r="H15" i="5"/>
  <c r="H63" i="5"/>
  <c r="H43" i="5"/>
  <c r="I43" i="5" s="1"/>
  <c r="H59" i="5"/>
  <c r="H31" i="5"/>
  <c r="H83" i="5"/>
  <c r="I83" i="5" s="1"/>
  <c r="I16" i="12"/>
  <c r="H36" i="12"/>
  <c r="I36" i="12" s="1"/>
  <c r="H48" i="12"/>
  <c r="I48" i="12" s="1"/>
  <c r="H56" i="12"/>
  <c r="I56" i="12" s="1"/>
  <c r="H44" i="12"/>
  <c r="I44" i="12" s="1"/>
  <c r="H64" i="12"/>
  <c r="I75" i="5"/>
  <c r="I17" i="12"/>
  <c r="E92" i="12"/>
  <c r="I76" i="12"/>
  <c r="I72" i="12"/>
  <c r="H80" i="12"/>
  <c r="I80" i="12" s="1"/>
  <c r="I88" i="12"/>
  <c r="F64" i="5"/>
  <c r="H64" i="5" s="1"/>
  <c r="F55" i="12"/>
  <c r="H55" i="12" s="1"/>
  <c r="I55" i="12" s="1"/>
  <c r="F19" i="12"/>
  <c r="H19" i="12" s="1"/>
  <c r="I19" i="12" s="1"/>
  <c r="I64" i="12"/>
  <c r="H13" i="12"/>
  <c r="I13" i="12" s="1"/>
  <c r="F39" i="12"/>
  <c r="H39" i="12" s="1"/>
  <c r="I39" i="12" s="1"/>
  <c r="F80" i="5"/>
  <c r="H80" i="5" s="1"/>
  <c r="F40" i="5"/>
  <c r="H40" i="5" s="1"/>
  <c r="F59" i="12"/>
  <c r="H59" i="12" s="1"/>
  <c r="I59" i="12" s="1"/>
  <c r="F15" i="12"/>
  <c r="H15" i="12" s="1"/>
  <c r="I15" i="12" s="1"/>
  <c r="F31" i="12"/>
  <c r="H31" i="12" s="1"/>
  <c r="I31" i="12" s="1"/>
  <c r="F63" i="12"/>
  <c r="H63" i="12" s="1"/>
  <c r="I63" i="12" s="1"/>
  <c r="F48" i="5"/>
  <c r="H48" i="5" s="1"/>
  <c r="F51" i="12"/>
  <c r="H51" i="12" s="1"/>
  <c r="I51" i="12" s="1"/>
  <c r="F28" i="5"/>
  <c r="H28" i="5" s="1"/>
  <c r="F83" i="12"/>
  <c r="H83" i="12" s="1"/>
  <c r="I83" i="12" s="1"/>
  <c r="F23" i="12"/>
  <c r="H23" i="12" s="1"/>
  <c r="I23" i="12" s="1"/>
  <c r="F24" i="5"/>
  <c r="H24" i="5" s="1"/>
  <c r="F60" i="5"/>
  <c r="H60" i="5" s="1"/>
  <c r="F87" i="12"/>
  <c r="H87" i="12" s="1"/>
  <c r="I87" i="12" s="1"/>
  <c r="F71" i="12"/>
  <c r="H71" i="12" s="1"/>
  <c r="I71" i="12" s="1"/>
  <c r="F16" i="5"/>
  <c r="H16" i="5" s="1"/>
  <c r="F32" i="5"/>
  <c r="H32" i="5" s="1"/>
  <c r="F88" i="5"/>
  <c r="H88" i="5" s="1"/>
  <c r="F75" i="12"/>
  <c r="H75" i="12" s="1"/>
  <c r="I75" i="12" s="1"/>
  <c r="F43" i="12"/>
  <c r="H43" i="12" s="1"/>
  <c r="I43" i="12" s="1"/>
  <c r="F20" i="5"/>
  <c r="H20" i="5" s="1"/>
  <c r="F52" i="5"/>
  <c r="H52" i="5" s="1"/>
  <c r="F84" i="5"/>
  <c r="H84" i="5" s="1"/>
  <c r="F79" i="12"/>
  <c r="H79" i="12" s="1"/>
  <c r="I79" i="12" s="1"/>
  <c r="F47" i="12"/>
  <c r="H47" i="12" s="1"/>
  <c r="I47" i="12" s="1"/>
  <c r="F44" i="5"/>
  <c r="H44" i="5" s="1"/>
  <c r="F76" i="5"/>
  <c r="H76" i="5" s="1"/>
  <c r="F67" i="12"/>
  <c r="H67" i="12" s="1"/>
  <c r="I67" i="12" s="1"/>
  <c r="F27" i="12"/>
  <c r="H27" i="12" s="1"/>
  <c r="I27" i="12" s="1"/>
  <c r="F35" i="12"/>
  <c r="H35" i="12" s="1"/>
  <c r="I35" i="12" s="1"/>
  <c r="F36" i="5"/>
  <c r="H36" i="5" s="1"/>
  <c r="F68" i="5"/>
  <c r="H68" i="5" s="1"/>
  <c r="F56" i="5"/>
  <c r="H56" i="5" s="1"/>
  <c r="F72" i="5"/>
  <c r="H72" i="5" s="1"/>
  <c r="F37" i="12"/>
  <c r="H37" i="12" s="1"/>
  <c r="I37" i="12" s="1"/>
  <c r="F37" i="5"/>
  <c r="H37" i="5" s="1"/>
  <c r="F42" i="12"/>
  <c r="H42" i="12" s="1"/>
  <c r="I42" i="12" s="1"/>
  <c r="F42" i="5"/>
  <c r="H42" i="5" s="1"/>
  <c r="F74" i="5"/>
  <c r="H74" i="5" s="1"/>
  <c r="F74" i="12"/>
  <c r="H74" i="12" s="1"/>
  <c r="I74" i="12" s="1"/>
  <c r="F49" i="12"/>
  <c r="H49" i="12" s="1"/>
  <c r="I49" i="12" s="1"/>
  <c r="F49" i="5"/>
  <c r="H49" i="5" s="1"/>
  <c r="F65" i="12"/>
  <c r="H65" i="12" s="1"/>
  <c r="I65" i="12" s="1"/>
  <c r="F65" i="5"/>
  <c r="H65" i="5" s="1"/>
  <c r="F81" i="12"/>
  <c r="H81" i="12" s="1"/>
  <c r="I81" i="12" s="1"/>
  <c r="F81" i="5"/>
  <c r="H81" i="5" s="1"/>
  <c r="F22" i="12"/>
  <c r="H22" i="12" s="1"/>
  <c r="I22" i="12" s="1"/>
  <c r="F22" i="5"/>
  <c r="H22" i="5" s="1"/>
  <c r="F54" i="5"/>
  <c r="H54" i="5" s="1"/>
  <c r="F54" i="12"/>
  <c r="H54" i="12" s="1"/>
  <c r="I54" i="12" s="1"/>
  <c r="F86" i="12"/>
  <c r="H86" i="12" s="1"/>
  <c r="I86" i="12" s="1"/>
  <c r="F86" i="5"/>
  <c r="H86" i="5" s="1"/>
  <c r="F21" i="12"/>
  <c r="H21" i="12" s="1"/>
  <c r="I21" i="12" s="1"/>
  <c r="F21" i="5"/>
  <c r="H21" i="5" s="1"/>
  <c r="F53" i="12"/>
  <c r="H53" i="12" s="1"/>
  <c r="I53" i="12" s="1"/>
  <c r="F53" i="5"/>
  <c r="H53" i="5" s="1"/>
  <c r="F69" i="12"/>
  <c r="H69" i="12" s="1"/>
  <c r="I69" i="12" s="1"/>
  <c r="F69" i="5"/>
  <c r="H69" i="5" s="1"/>
  <c r="F85" i="12"/>
  <c r="H85" i="12" s="1"/>
  <c r="I85" i="12" s="1"/>
  <c r="F85" i="5"/>
  <c r="H85" i="5" s="1"/>
  <c r="F26" i="12"/>
  <c r="H26" i="12" s="1"/>
  <c r="I26" i="12" s="1"/>
  <c r="F26" i="5"/>
  <c r="H26" i="5" s="1"/>
  <c r="F58" i="12"/>
  <c r="H58" i="12" s="1"/>
  <c r="I58" i="12" s="1"/>
  <c r="F58" i="5"/>
  <c r="F90" i="12"/>
  <c r="H90" i="12" s="1"/>
  <c r="I90" i="12" s="1"/>
  <c r="F90" i="5"/>
  <c r="H90" i="5" s="1"/>
  <c r="F33" i="12"/>
  <c r="H33" i="12" s="1"/>
  <c r="I33" i="12" s="1"/>
  <c r="F33" i="5"/>
  <c r="H33" i="5" s="1"/>
  <c r="F38" i="12"/>
  <c r="H38" i="12" s="1"/>
  <c r="I38" i="12" s="1"/>
  <c r="F38" i="5"/>
  <c r="H38" i="5" s="1"/>
  <c r="F70" i="12"/>
  <c r="H70" i="12" s="1"/>
  <c r="I70" i="12" s="1"/>
  <c r="F70" i="5"/>
  <c r="H70" i="5" s="1"/>
  <c r="F29" i="12"/>
  <c r="H29" i="12" s="1"/>
  <c r="I29" i="12" s="1"/>
  <c r="F29" i="5"/>
  <c r="H29" i="5" s="1"/>
  <c r="F45" i="12"/>
  <c r="H45" i="12" s="1"/>
  <c r="I45" i="12" s="1"/>
  <c r="F45" i="5"/>
  <c r="H45" i="5" s="1"/>
  <c r="F61" i="12"/>
  <c r="H61" i="12" s="1"/>
  <c r="I61" i="12" s="1"/>
  <c r="F61" i="5"/>
  <c r="H61" i="5" s="1"/>
  <c r="F77" i="12"/>
  <c r="H77" i="12" s="1"/>
  <c r="I77" i="12" s="1"/>
  <c r="F77" i="5"/>
  <c r="H77" i="5" s="1"/>
  <c r="F18" i="5"/>
  <c r="H18" i="5" s="1"/>
  <c r="F18" i="12"/>
  <c r="H18" i="12" s="1"/>
  <c r="I18" i="12" s="1"/>
  <c r="F34" i="5"/>
  <c r="H34" i="5" s="1"/>
  <c r="F34" i="12"/>
  <c r="H34" i="12" s="1"/>
  <c r="I34" i="12" s="1"/>
  <c r="F50" i="12"/>
  <c r="H50" i="12" s="1"/>
  <c r="I50" i="12" s="1"/>
  <c r="F50" i="5"/>
  <c r="H50" i="5" s="1"/>
  <c r="F66" i="12"/>
  <c r="H66" i="12" s="1"/>
  <c r="I66" i="12" s="1"/>
  <c r="F66" i="5"/>
  <c r="H66" i="5" s="1"/>
  <c r="F82" i="12"/>
  <c r="H82" i="12" s="1"/>
  <c r="I82" i="12" s="1"/>
  <c r="F82" i="5"/>
  <c r="H82" i="5" s="1"/>
  <c r="F25" i="12"/>
  <c r="H25" i="12" s="1"/>
  <c r="I25" i="12" s="1"/>
  <c r="F25" i="5"/>
  <c r="H25" i="5" s="1"/>
  <c r="F41" i="12"/>
  <c r="H41" i="12" s="1"/>
  <c r="I41" i="12" s="1"/>
  <c r="F41" i="5"/>
  <c r="H41" i="5" s="1"/>
  <c r="F57" i="12"/>
  <c r="H57" i="12" s="1"/>
  <c r="I57" i="12" s="1"/>
  <c r="F57" i="5"/>
  <c r="H57" i="5" s="1"/>
  <c r="F73" i="12"/>
  <c r="H73" i="12" s="1"/>
  <c r="I73" i="12" s="1"/>
  <c r="F73" i="5"/>
  <c r="H73" i="5" s="1"/>
  <c r="F89" i="12"/>
  <c r="H89" i="12" s="1"/>
  <c r="I89" i="12" s="1"/>
  <c r="F89" i="5"/>
  <c r="H89" i="5" s="1"/>
  <c r="F14" i="12"/>
  <c r="H14" i="12" s="1"/>
  <c r="I14" i="12" s="1"/>
  <c r="F14" i="5"/>
  <c r="H14" i="5" s="1"/>
  <c r="F30" i="12"/>
  <c r="H30" i="12" s="1"/>
  <c r="I30" i="12" s="1"/>
  <c r="F30" i="5"/>
  <c r="H30" i="5" s="1"/>
  <c r="F46" i="12"/>
  <c r="H46" i="12" s="1"/>
  <c r="I46" i="12" s="1"/>
  <c r="F46" i="5"/>
  <c r="H46" i="5" s="1"/>
  <c r="F62" i="12"/>
  <c r="H62" i="12" s="1"/>
  <c r="I62" i="12" s="1"/>
  <c r="F62" i="5"/>
  <c r="H62" i="5" s="1"/>
  <c r="F78" i="12"/>
  <c r="H78" i="12" s="1"/>
  <c r="I78" i="12" s="1"/>
  <c r="F78" i="5"/>
  <c r="H78" i="5" s="1"/>
  <c r="F81" i="6"/>
  <c r="I17" i="5"/>
  <c r="I19" i="5"/>
  <c r="I39" i="5"/>
  <c r="I79" i="5"/>
  <c r="I87" i="5"/>
  <c r="D90" i="5"/>
  <c r="C90" i="5"/>
  <c r="D89" i="5"/>
  <c r="C89" i="5"/>
  <c r="D88" i="5"/>
  <c r="C88" i="5"/>
  <c r="D87" i="5"/>
  <c r="C87" i="5"/>
  <c r="D86" i="5"/>
  <c r="C86" i="5"/>
  <c r="D85" i="5"/>
  <c r="C85" i="5"/>
  <c r="D84" i="5"/>
  <c r="C84" i="5"/>
  <c r="D83" i="5"/>
  <c r="C83" i="5"/>
  <c r="D82" i="5"/>
  <c r="C82" i="5"/>
  <c r="D81" i="5"/>
  <c r="C81" i="5"/>
  <c r="D80" i="5"/>
  <c r="C80" i="5"/>
  <c r="D79" i="5"/>
  <c r="C79" i="5"/>
  <c r="D78" i="5"/>
  <c r="C78" i="5"/>
  <c r="D77" i="5"/>
  <c r="C77" i="5"/>
  <c r="D76" i="5"/>
  <c r="C76" i="5"/>
  <c r="D75" i="5"/>
  <c r="C75" i="5"/>
  <c r="D74" i="5"/>
  <c r="C74" i="5"/>
  <c r="D73" i="5"/>
  <c r="C73" i="5"/>
  <c r="D72" i="5"/>
  <c r="C72" i="5"/>
  <c r="D71" i="5"/>
  <c r="C71" i="5"/>
  <c r="D70" i="5"/>
  <c r="C70" i="5"/>
  <c r="D69" i="5"/>
  <c r="C69" i="5"/>
  <c r="D68" i="5"/>
  <c r="C68" i="5"/>
  <c r="D67" i="5"/>
  <c r="C67" i="5"/>
  <c r="D66" i="5"/>
  <c r="C66" i="5"/>
  <c r="D65" i="5"/>
  <c r="C65" i="5"/>
  <c r="D64" i="5"/>
  <c r="C64" i="5"/>
  <c r="D63" i="5"/>
  <c r="C63" i="5"/>
  <c r="D62" i="5"/>
  <c r="C62" i="5"/>
  <c r="D61" i="5"/>
  <c r="C61" i="5"/>
  <c r="D60" i="5"/>
  <c r="C60" i="5"/>
  <c r="D59" i="5"/>
  <c r="C59" i="5"/>
  <c r="D58" i="5"/>
  <c r="C58" i="5"/>
  <c r="D57" i="5"/>
  <c r="C57" i="5"/>
  <c r="D56" i="5"/>
  <c r="C56" i="5"/>
  <c r="D55" i="5"/>
  <c r="C55" i="5"/>
  <c r="D54" i="5"/>
  <c r="C54" i="5"/>
  <c r="D53" i="5"/>
  <c r="C53" i="5"/>
  <c r="D52" i="5"/>
  <c r="C52" i="5"/>
  <c r="D51" i="5"/>
  <c r="C51" i="5"/>
  <c r="D50" i="5"/>
  <c r="C50" i="5"/>
  <c r="D49" i="5"/>
  <c r="C49" i="5"/>
  <c r="D48" i="5"/>
  <c r="C48" i="5"/>
  <c r="D47" i="5"/>
  <c r="C47" i="5"/>
  <c r="D46" i="5"/>
  <c r="C46" i="5"/>
  <c r="D45" i="5"/>
  <c r="C45" i="5"/>
  <c r="D44" i="5"/>
  <c r="C44" i="5"/>
  <c r="D43" i="5"/>
  <c r="C43" i="5"/>
  <c r="D42" i="5"/>
  <c r="C42" i="5"/>
  <c r="D41" i="5"/>
  <c r="C41" i="5"/>
  <c r="D40" i="5"/>
  <c r="C40" i="5"/>
  <c r="D39" i="5"/>
  <c r="C39" i="5"/>
  <c r="D38" i="5"/>
  <c r="C38" i="5"/>
  <c r="D37" i="5"/>
  <c r="C37" i="5"/>
  <c r="D36" i="5"/>
  <c r="C36" i="5"/>
  <c r="D35" i="5"/>
  <c r="C35" i="5"/>
  <c r="D34" i="5"/>
  <c r="C34" i="5"/>
  <c r="D33" i="5"/>
  <c r="C33" i="5"/>
  <c r="D32" i="5"/>
  <c r="C32" i="5"/>
  <c r="D31" i="5"/>
  <c r="C31" i="5"/>
  <c r="D30" i="5"/>
  <c r="C30" i="5"/>
  <c r="D29" i="5"/>
  <c r="C29" i="5"/>
  <c r="D28" i="5"/>
  <c r="C28" i="5"/>
  <c r="D27" i="5"/>
  <c r="C27" i="5"/>
  <c r="D26" i="5"/>
  <c r="C26" i="5"/>
  <c r="D25" i="5"/>
  <c r="C25" i="5"/>
  <c r="D24" i="5"/>
  <c r="C24" i="5"/>
  <c r="D23" i="5"/>
  <c r="C23" i="5"/>
  <c r="D22" i="5"/>
  <c r="C22" i="5"/>
  <c r="D21" i="5"/>
  <c r="C21" i="5"/>
  <c r="D20" i="5"/>
  <c r="C20" i="5"/>
  <c r="D19" i="5"/>
  <c r="C19" i="5"/>
  <c r="D18" i="5"/>
  <c r="C18" i="5"/>
  <c r="D17" i="5"/>
  <c r="C17" i="5"/>
  <c r="D16" i="5"/>
  <c r="C16" i="5"/>
  <c r="D15" i="5"/>
  <c r="C15" i="5"/>
  <c r="D14" i="5"/>
  <c r="C14" i="5"/>
  <c r="D13" i="5"/>
  <c r="C13" i="5"/>
  <c r="F89" i="7"/>
  <c r="E89" i="7"/>
  <c r="D87" i="7"/>
  <c r="C87" i="7"/>
  <c r="D86" i="7"/>
  <c r="C86" i="7"/>
  <c r="D85" i="7"/>
  <c r="C85" i="7"/>
  <c r="D84" i="7"/>
  <c r="C84" i="7"/>
  <c r="D83" i="7"/>
  <c r="C83" i="7"/>
  <c r="D82" i="7"/>
  <c r="C82" i="7"/>
  <c r="D81" i="7"/>
  <c r="C81" i="7"/>
  <c r="D80" i="7"/>
  <c r="C80" i="7"/>
  <c r="D79" i="7"/>
  <c r="C79" i="7"/>
  <c r="D78" i="7"/>
  <c r="C78" i="7"/>
  <c r="D77" i="7"/>
  <c r="C77" i="7"/>
  <c r="D76" i="7"/>
  <c r="C76" i="7"/>
  <c r="D75" i="7"/>
  <c r="C75" i="7"/>
  <c r="D74" i="7"/>
  <c r="C74" i="7"/>
  <c r="D73" i="7"/>
  <c r="C73" i="7"/>
  <c r="D72" i="7"/>
  <c r="C72" i="7"/>
  <c r="D71" i="7"/>
  <c r="C71" i="7"/>
  <c r="D70" i="7"/>
  <c r="C70" i="7"/>
  <c r="D69" i="7"/>
  <c r="C69" i="7"/>
  <c r="D68" i="7"/>
  <c r="C68" i="7"/>
  <c r="D67" i="7"/>
  <c r="C67" i="7"/>
  <c r="D66" i="7"/>
  <c r="C66" i="7"/>
  <c r="D65" i="7"/>
  <c r="C65" i="7"/>
  <c r="D64" i="7"/>
  <c r="C64" i="7"/>
  <c r="D63" i="7"/>
  <c r="C63" i="7"/>
  <c r="D62" i="7"/>
  <c r="C62" i="7"/>
  <c r="D61" i="7"/>
  <c r="C61" i="7"/>
  <c r="D60" i="7"/>
  <c r="C60" i="7"/>
  <c r="D59" i="7"/>
  <c r="C59" i="7"/>
  <c r="D58" i="7"/>
  <c r="C58" i="7"/>
  <c r="D57" i="7"/>
  <c r="C57" i="7"/>
  <c r="D56" i="7"/>
  <c r="C56" i="7"/>
  <c r="D55" i="7"/>
  <c r="C55" i="7"/>
  <c r="D54" i="7"/>
  <c r="C54" i="7"/>
  <c r="D53" i="7"/>
  <c r="C53" i="7"/>
  <c r="D52" i="7"/>
  <c r="C52" i="7"/>
  <c r="D51" i="7"/>
  <c r="C51" i="7"/>
  <c r="D50" i="7"/>
  <c r="C50" i="7"/>
  <c r="D49" i="7"/>
  <c r="C49" i="7"/>
  <c r="D48" i="7"/>
  <c r="C48" i="7"/>
  <c r="D47" i="7"/>
  <c r="C47" i="7"/>
  <c r="D46" i="7"/>
  <c r="C46" i="7"/>
  <c r="D45" i="7"/>
  <c r="C45" i="7"/>
  <c r="D44" i="7"/>
  <c r="C44" i="7"/>
  <c r="D43" i="7"/>
  <c r="C43" i="7"/>
  <c r="D42" i="7"/>
  <c r="C42" i="7"/>
  <c r="D41" i="7"/>
  <c r="C41" i="7"/>
  <c r="D40" i="7"/>
  <c r="C40" i="7"/>
  <c r="D39" i="7"/>
  <c r="C39" i="7"/>
  <c r="D38" i="7"/>
  <c r="C38" i="7"/>
  <c r="D37" i="7"/>
  <c r="C37" i="7"/>
  <c r="D36" i="7"/>
  <c r="C36" i="7"/>
  <c r="D35" i="7"/>
  <c r="C35" i="7"/>
  <c r="D34" i="7"/>
  <c r="C34" i="7"/>
  <c r="D33" i="7"/>
  <c r="C33" i="7"/>
  <c r="D32" i="7"/>
  <c r="C32" i="7"/>
  <c r="D31" i="7"/>
  <c r="C31" i="7"/>
  <c r="D30" i="7"/>
  <c r="C30" i="7"/>
  <c r="D29" i="7"/>
  <c r="C29" i="7"/>
  <c r="D28" i="7"/>
  <c r="C28" i="7"/>
  <c r="D27" i="7"/>
  <c r="C27" i="7"/>
  <c r="D26" i="7"/>
  <c r="C26" i="7"/>
  <c r="D25" i="7"/>
  <c r="C25" i="7"/>
  <c r="D24" i="7"/>
  <c r="C24" i="7"/>
  <c r="D23" i="7"/>
  <c r="C23" i="7"/>
  <c r="D22" i="7"/>
  <c r="C22" i="7"/>
  <c r="D21" i="7"/>
  <c r="C21" i="7"/>
  <c r="D20" i="7"/>
  <c r="C20" i="7"/>
  <c r="D19" i="7"/>
  <c r="C19" i="7"/>
  <c r="D18" i="7"/>
  <c r="C18" i="7"/>
  <c r="D17" i="7"/>
  <c r="C17" i="7"/>
  <c r="D16" i="7"/>
  <c r="C16" i="7"/>
  <c r="D15" i="7"/>
  <c r="C15" i="7"/>
  <c r="D14" i="7"/>
  <c r="C14" i="7"/>
  <c r="D13" i="7"/>
  <c r="C13" i="7"/>
  <c r="D12" i="7"/>
  <c r="C12" i="7"/>
  <c r="D11" i="7"/>
  <c r="C11" i="7"/>
  <c r="D10" i="7"/>
  <c r="C10" i="7"/>
  <c r="H58" i="5" l="1"/>
  <c r="I58" i="5" s="1"/>
  <c r="I51" i="5"/>
  <c r="I55" i="5"/>
  <c r="I67" i="5"/>
  <c r="I71" i="5"/>
  <c r="I64" i="5"/>
  <c r="I35" i="5"/>
  <c r="I74" i="5"/>
  <c r="I36" i="5"/>
  <c r="I48" i="5"/>
  <c r="I78" i="5"/>
  <c r="I27" i="5"/>
  <c r="I62" i="5"/>
  <c r="I25" i="5"/>
  <c r="I45" i="5"/>
  <c r="I33" i="5"/>
  <c r="I86" i="5"/>
  <c r="I65" i="5"/>
  <c r="I37" i="5"/>
  <c r="I24" i="5"/>
  <c r="I76" i="5"/>
  <c r="I57" i="5"/>
  <c r="I66" i="5"/>
  <c r="I77" i="5"/>
  <c r="I70" i="5"/>
  <c r="I53" i="5"/>
  <c r="I16" i="5"/>
  <c r="I84" i="5"/>
  <c r="I30" i="5"/>
  <c r="I85" i="5"/>
  <c r="I68" i="5"/>
  <c r="I46" i="5"/>
  <c r="I14" i="5"/>
  <c r="I73" i="5"/>
  <c r="I41" i="5"/>
  <c r="I82" i="5"/>
  <c r="I50" i="5"/>
  <c r="I61" i="5"/>
  <c r="I29" i="5"/>
  <c r="I38" i="5"/>
  <c r="I90" i="5"/>
  <c r="I26" i="5"/>
  <c r="I69" i="5"/>
  <c r="I21" i="5"/>
  <c r="I81" i="5"/>
  <c r="I49" i="5"/>
  <c r="I42" i="5"/>
  <c r="I72" i="5"/>
  <c r="I44" i="5"/>
  <c r="I52" i="5"/>
  <c r="I88" i="5"/>
  <c r="I31" i="5"/>
  <c r="I23" i="5"/>
  <c r="I63" i="5"/>
  <c r="I34" i="5"/>
  <c r="I89" i="5"/>
  <c r="I22" i="5"/>
  <c r="I80" i="5"/>
  <c r="I59" i="5"/>
  <c r="I18" i="5"/>
  <c r="I54" i="5"/>
  <c r="I56" i="5"/>
  <c r="I20" i="5"/>
  <c r="I32" i="5"/>
  <c r="I60" i="5"/>
  <c r="I28" i="5"/>
  <c r="I40" i="5"/>
  <c r="I15" i="5"/>
  <c r="I47" i="5"/>
  <c r="F92" i="12"/>
  <c r="F92" i="5"/>
  <c r="I92" i="12"/>
  <c r="E104" i="12" s="1"/>
  <c r="H92" i="12"/>
  <c r="E100" i="12" s="1"/>
  <c r="I13" i="5"/>
  <c r="G92" i="5"/>
  <c r="H92" i="5" l="1"/>
  <c r="E100" i="5" s="1"/>
  <c r="E96" i="12"/>
  <c r="I92" i="5" l="1"/>
  <c r="E104" i="5" l="1"/>
  <c r="E96" i="5"/>
</calcChain>
</file>

<file path=xl/connections.xml><?xml version="1.0" encoding="utf-8"?>
<connections xmlns="http://schemas.openxmlformats.org/spreadsheetml/2006/main">
  <connection id="1" name="Kab_Buton_Utara" type="6" refreshedVersion="3" background="1" saveData="1">
    <textPr codePage="850" sourceFile="C:\Users\DELL-34\Documents\CSV database dana desa dari aplikasi\Kab_Buton_Utara.csv">
      <textFields count="8"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<sst xmlns="http://schemas.openxmlformats.org/spreadsheetml/2006/main" count="613" uniqueCount="318">
  <si>
    <t>Kertas Kerja (Worksheet) Penghitungan Dana Desa Setiap Desa</t>
  </si>
  <si>
    <t>No.</t>
  </si>
  <si>
    <t>Nama Desa</t>
  </si>
  <si>
    <t>Alokasi Dasar</t>
  </si>
  <si>
    <t>Pagu Dana Desa per-Desa</t>
  </si>
  <si>
    <t>Jumlah Penduduk</t>
  </si>
  <si>
    <t>Jumlah Penduduk Miskin</t>
  </si>
  <si>
    <t>Luas Wilayah</t>
  </si>
  <si>
    <t>IKG</t>
  </si>
  <si>
    <t>Total Bobot</t>
  </si>
  <si>
    <t>Rasio Jumlah Penduduk</t>
  </si>
  <si>
    <t>Bobot</t>
  </si>
  <si>
    <t>Rasio Jumlah Penduduk Miskin</t>
  </si>
  <si>
    <t>Rasio Luas Wilayah</t>
  </si>
  <si>
    <t>Indeks Kesulitan Geografis</t>
  </si>
  <si>
    <t>Rasio Indeks Kesulitan Geografis</t>
  </si>
  <si>
    <t>(1)</t>
  </si>
  <si>
    <t>(2)</t>
  </si>
  <si>
    <t>(3)</t>
  </si>
  <si>
    <t>(4)</t>
  </si>
  <si>
    <t>(5)</t>
  </si>
  <si>
    <t>(7)</t>
  </si>
  <si>
    <t>(8)</t>
  </si>
  <si>
    <t>(10)</t>
  </si>
  <si>
    <t>(11)</t>
  </si>
  <si>
    <t>(13)</t>
  </si>
  <si>
    <t>(14)</t>
  </si>
  <si>
    <t>Total</t>
  </si>
  <si>
    <t>Kontrol Penghitungan</t>
  </si>
  <si>
    <t>JP</t>
  </si>
  <si>
    <t>AK</t>
  </si>
  <si>
    <t>LW</t>
  </si>
  <si>
    <t>Jumlah Desa</t>
  </si>
  <si>
    <t>Tempat Kedudukan, DD/MM/YYYY</t>
  </si>
  <si>
    <t>Nama Jelas</t>
  </si>
  <si>
    <t>NIP</t>
  </si>
  <si>
    <t>Alokasi Formula</t>
  </si>
  <si>
    <t>(6)</t>
  </si>
  <si>
    <t>(9)</t>
  </si>
  <si>
    <t>(12)</t>
  </si>
  <si>
    <t>Kecamatan</t>
  </si>
  <si>
    <t>(15)</t>
  </si>
  <si>
    <t>(16)</t>
  </si>
  <si>
    <t>(17) = (7) + (10) + (13) + (16)</t>
  </si>
  <si>
    <t>(18)</t>
  </si>
  <si>
    <t>(19)= (4) + (18)</t>
  </si>
  <si>
    <t>Pagu Dana Desa Kabupaten X</t>
  </si>
  <si>
    <t>Hasil Perhitungan Pagu Dana Desa Kabupaten X</t>
  </si>
  <si>
    <t>Pagu Alokasi Dasar</t>
  </si>
  <si>
    <t>Pagu Alokasi Formula</t>
  </si>
  <si>
    <t>Mengetahui,</t>
  </si>
  <si>
    <t>Pejabat SKPKD (n)</t>
  </si>
  <si>
    <r>
      <t xml:space="preserve">Pejabat di Bidang Pemberdayaan Masyarakat Desa </t>
    </r>
    <r>
      <rPr>
        <i/>
        <sz val="11"/>
        <color theme="1"/>
        <rFont val="Calibri"/>
        <family val="2"/>
        <scheme val="minor"/>
      </rPr>
      <t>(0)</t>
    </r>
  </si>
  <si>
    <r>
      <t xml:space="preserve">Petugas Penghitung Dana Desa </t>
    </r>
    <r>
      <rPr>
        <i/>
        <sz val="11"/>
        <color theme="1"/>
        <rFont val="Calibri"/>
        <family val="2"/>
        <scheme val="minor"/>
      </rPr>
      <t>(p)</t>
    </r>
  </si>
  <si>
    <t>(eselon II)</t>
  </si>
  <si>
    <t>(eselon III)</t>
  </si>
  <si>
    <t>Hasil Hitung Alokasi Dasar</t>
  </si>
  <si>
    <t>Hasil Hitung Alokasi Formula</t>
  </si>
  <si>
    <t>KABUPATEN/KOTA</t>
  </si>
  <si>
    <t xml:space="preserve">TAHUN ANGGARAN 2017 </t>
  </si>
  <si>
    <t>kdkec</t>
  </si>
  <si>
    <t>urkec</t>
  </si>
  <si>
    <t>kddesa</t>
  </si>
  <si>
    <t>urdesa</t>
  </si>
  <si>
    <t>jp</t>
  </si>
  <si>
    <t>jpm</t>
  </si>
  <si>
    <t>lw</t>
  </si>
  <si>
    <t>ikg</t>
  </si>
  <si>
    <t>KULISUSU</t>
  </si>
  <si>
    <t>TRIWACUWACU</t>
  </si>
  <si>
    <t>WACULAEA</t>
  </si>
  <si>
    <t>TOMOAHI</t>
  </si>
  <si>
    <t>KALIBU</t>
  </si>
  <si>
    <t>JAMPAKA</t>
  </si>
  <si>
    <t>LOJI</t>
  </si>
  <si>
    <t>ROMBO</t>
  </si>
  <si>
    <t>WASALABOSE</t>
  </si>
  <si>
    <t>MALALANDA</t>
  </si>
  <si>
    <t>LANTAGI</t>
  </si>
  <si>
    <t>LAANGKE</t>
  </si>
  <si>
    <t>KADACUA</t>
  </si>
  <si>
    <t>BANU-BANUA JAYA</t>
  </si>
  <si>
    <t>KAMBOWA</t>
  </si>
  <si>
    <t>BUBU</t>
  </si>
  <si>
    <t>MORINDINO</t>
  </si>
  <si>
    <t>LAGUNDI</t>
  </si>
  <si>
    <t>MATA</t>
  </si>
  <si>
    <t>BUBU BARAT</t>
  </si>
  <si>
    <t>BENTE</t>
  </si>
  <si>
    <t>BALUARA</t>
  </si>
  <si>
    <t>BONEGUNU</t>
  </si>
  <si>
    <t>GUNUNG SARI</t>
  </si>
  <si>
    <t>RONTA</t>
  </si>
  <si>
    <t>WAODE ANGKALO</t>
  </si>
  <si>
    <t>WAODE KALOWO</t>
  </si>
  <si>
    <t>LAANO IPI</t>
  </si>
  <si>
    <t>TATOMBULI</t>
  </si>
  <si>
    <t>RANTE GOLA</t>
  </si>
  <si>
    <t>NGAPA'EA</t>
  </si>
  <si>
    <t>KOBORUNO</t>
  </si>
  <si>
    <t>DAMAI LABORONA</t>
  </si>
  <si>
    <t>KULISUSU BARAT</t>
  </si>
  <si>
    <t>KOTAWO</t>
  </si>
  <si>
    <t>KARYA BHAKTI</t>
  </si>
  <si>
    <t>MARGAKARYA</t>
  </si>
  <si>
    <t>KASULATOMBI</t>
  </si>
  <si>
    <t>DAMPALA JAYA</t>
  </si>
  <si>
    <t>RAHMAT BARU</t>
  </si>
  <si>
    <t>KARYA MULYA</t>
  </si>
  <si>
    <t>LAMBALE</t>
  </si>
  <si>
    <t>LAPANDEWA</t>
  </si>
  <si>
    <t>LAUKI</t>
  </si>
  <si>
    <t>MEKAR JAYA</t>
  </si>
  <si>
    <t>LABULANDA</t>
  </si>
  <si>
    <t>KULISUSU UTARA</t>
  </si>
  <si>
    <t>KOROLABU</t>
  </si>
  <si>
    <t>LAMOAHI</t>
  </si>
  <si>
    <t>LANOSANGIA</t>
  </si>
  <si>
    <t>PEBAOA</t>
  </si>
  <si>
    <t>LELAMO</t>
  </si>
  <si>
    <t>WAODEBURI</t>
  </si>
  <si>
    <t>ULU NAMBO</t>
  </si>
  <si>
    <t>BIRA</t>
  </si>
  <si>
    <t>E'ERINERE</t>
  </si>
  <si>
    <t>LABELETE</t>
  </si>
  <si>
    <t>WAMBOULE</t>
  </si>
  <si>
    <t>WOWONGA JAYA</t>
  </si>
  <si>
    <t>WAKORUMBA UTARA</t>
  </si>
  <si>
    <t>LASIWA</t>
  </si>
  <si>
    <t>LAEA</t>
  </si>
  <si>
    <t>MATALAGI</t>
  </si>
  <si>
    <t>WANTULASI</t>
  </si>
  <si>
    <t>LABUAN BAJO</t>
  </si>
  <si>
    <t>LABARAGA</t>
  </si>
  <si>
    <t>WAMORAPA</t>
  </si>
  <si>
    <t>SUMAMPENO</t>
  </si>
  <si>
    <t>OENGKAPALA</t>
  </si>
  <si>
    <t>LABUKO</t>
  </si>
  <si>
    <t>LABA JAYA</t>
  </si>
  <si>
    <t>EENSUMALA</t>
  </si>
  <si>
    <t>LAMPIRAN</t>
  </si>
  <si>
    <t>:</t>
  </si>
  <si>
    <t>: TATA CARA PEMBAGIAN DAN PENETAPAN RINCIAN DANA DESA SETIAP DESA KABUPATEN BUTON UTARA TAHUN ANGGARAN 2017.</t>
  </si>
  <si>
    <t xml:space="preserve">  NOMOR</t>
  </si>
  <si>
    <t xml:space="preserve">  TANGGAL</t>
  </si>
  <si>
    <t xml:space="preserve">  TENTANG</t>
  </si>
  <si>
    <t>: PERATURAN BUPATI BUTON UTARA</t>
  </si>
  <si>
    <t xml:space="preserve">Pagu Dana Desa Kabupaten </t>
  </si>
  <si>
    <t>Hasil Perhitungan Pagu Dana Desa Kabupaten</t>
  </si>
  <si>
    <t>KONDE</t>
  </si>
  <si>
    <t>LINSOWU</t>
  </si>
  <si>
    <t>PONGKOWULU</t>
  </si>
  <si>
    <t>KOEPISINO</t>
  </si>
  <si>
    <t>SOLOY AGUNG</t>
  </si>
  <si>
    <t>BUMI LAPERO</t>
  </si>
  <si>
    <t>TOROMBIA</t>
  </si>
  <si>
    <t>E'ELAHAJI</t>
  </si>
  <si>
    <t>LAHUMOKO</t>
  </si>
  <si>
    <t>LANGERE</t>
  </si>
  <si>
    <t>REAL PAJAK</t>
  </si>
  <si>
    <t>PETETEA'A</t>
  </si>
  <si>
    <t>LEMO'EA</t>
  </si>
  <si>
    <t>Bagi Hasil Pajak dan Retribusi Daerah (Merata)</t>
  </si>
  <si>
    <t>% Realisasi PDRD Desa thdp Total Realisasi PDRD Seluruh Desa</t>
  </si>
  <si>
    <t>Total Bagi Hasil PDRD yang dibagi Proposional</t>
  </si>
  <si>
    <t>Total Bagi Hasil PDRD Proposional yang diterima Desa</t>
  </si>
  <si>
    <t>Total Bagi Hasil Pajak dan Retribusi Daerah yang diterima desa</t>
  </si>
  <si>
    <t>Bagi Hasil Pajak Dan Retribusi Daerah (Proposional)</t>
  </si>
  <si>
    <t>(7)=(5)X(6)</t>
  </si>
  <si>
    <t>(19)= (4) + (7)</t>
  </si>
  <si>
    <t>BUPATI BUTON UTARA,</t>
  </si>
  <si>
    <t>H. ABU HASAN</t>
  </si>
  <si>
    <t>NO</t>
  </si>
  <si>
    <t>NAMA DESA</t>
  </si>
  <si>
    <t>TARGET</t>
  </si>
  <si>
    <t>REALISASI</t>
  </si>
  <si>
    <t>LEMO EA</t>
  </si>
  <si>
    <t>E’ELAHAJI</t>
  </si>
  <si>
    <t>WACU LAEA</t>
  </si>
  <si>
    <t>TRI WACU-WACU</t>
  </si>
  <si>
    <t>BANUA-BANUA JAYA</t>
  </si>
  <si>
    <r>
      <t>1.</t>
    </r>
    <r>
      <rPr>
        <b/>
        <sz val="7"/>
        <color theme="1"/>
        <rFont val="Times New Roman"/>
        <family val="1"/>
      </rPr>
      <t xml:space="preserve">     </t>
    </r>
    <r>
      <rPr>
        <sz val="11"/>
        <color theme="1"/>
        <rFont val="Calibri"/>
        <family val="2"/>
        <scheme val="minor"/>
      </rPr>
      <t xml:space="preserve">    </t>
    </r>
    <r>
      <rPr>
        <b/>
        <sz val="12"/>
        <color theme="1"/>
        <rFont val="Calibri"/>
        <family val="2"/>
        <scheme val="minor"/>
      </rPr>
      <t>KECAMATAN KULISUSU</t>
    </r>
  </si>
  <si>
    <r>
      <t>2.</t>
    </r>
    <r>
      <rPr>
        <b/>
        <sz val="7"/>
        <color theme="1"/>
        <rFont val="Times New Roman"/>
        <family val="1"/>
      </rPr>
      <t xml:space="preserve">     </t>
    </r>
    <r>
      <rPr>
        <b/>
        <sz val="12"/>
        <color theme="1"/>
        <rFont val="Calibri"/>
        <family val="2"/>
        <scheme val="minor"/>
      </rPr>
      <t xml:space="preserve">    KECAMATAN  KULISUSU BARAT</t>
    </r>
  </si>
  <si>
    <t>MARGA KARYA</t>
  </si>
  <si>
    <r>
      <t>3.</t>
    </r>
    <r>
      <rPr>
        <b/>
        <sz val="7"/>
        <color theme="1"/>
        <rFont val="Times New Roman"/>
        <family val="1"/>
      </rPr>
      <t xml:space="preserve">      </t>
    </r>
    <r>
      <rPr>
        <b/>
        <sz val="11"/>
        <color theme="1"/>
        <rFont val="Calibri"/>
        <family val="2"/>
        <scheme val="minor"/>
      </rPr>
      <t xml:space="preserve">  KECAMATAN  KULISUSU UTARA</t>
    </r>
  </si>
  <si>
    <t>WA ODE BURI</t>
  </si>
  <si>
    <t>ULUNAMBO</t>
  </si>
  <si>
    <t>PETETEA’A</t>
  </si>
  <si>
    <t>KUROLABU</t>
  </si>
  <si>
    <t>E’ERINERE</t>
  </si>
  <si>
    <r>
      <t>4.</t>
    </r>
    <r>
      <rPr>
        <b/>
        <sz val="7"/>
        <color theme="1"/>
        <rFont val="Times New Roman"/>
        <family val="1"/>
      </rPr>
      <t xml:space="preserve">     </t>
    </r>
    <r>
      <rPr>
        <b/>
        <sz val="12"/>
        <color theme="1"/>
        <rFont val="Calibri"/>
        <family val="2"/>
        <scheme val="minor"/>
      </rPr>
      <t xml:space="preserve">   KECAMATAN  BONEGUNU</t>
    </r>
  </si>
  <si>
    <t>WA ODE KALOWO</t>
  </si>
  <si>
    <t>LAANOIPI</t>
  </si>
  <si>
    <t>WA ODE ANGKALO</t>
  </si>
  <si>
    <t>E’ENSUMALA</t>
  </si>
  <si>
    <t>RANTEGOLA</t>
  </si>
  <si>
    <t>NGAPA’EA</t>
  </si>
  <si>
    <r>
      <t>5.</t>
    </r>
    <r>
      <rPr>
        <b/>
        <sz val="7"/>
        <color theme="1"/>
        <rFont val="Times New Roman"/>
        <family val="1"/>
      </rPr>
      <t xml:space="preserve">     </t>
    </r>
    <r>
      <rPr>
        <b/>
        <sz val="12"/>
        <color theme="1"/>
        <rFont val="Calibri"/>
        <family val="2"/>
        <scheme val="minor"/>
      </rPr>
      <t>KECAMATAN  KAMBOWA</t>
    </r>
  </si>
  <si>
    <r>
      <t>6.</t>
    </r>
    <r>
      <rPr>
        <b/>
        <sz val="7"/>
        <color theme="1"/>
        <rFont val="Times New Roman"/>
        <family val="1"/>
      </rPr>
      <t xml:space="preserve">     </t>
    </r>
    <r>
      <rPr>
        <sz val="11"/>
        <color theme="1"/>
        <rFont val="Calibri"/>
        <family val="2"/>
        <scheme val="minor"/>
      </rPr>
      <t xml:space="preserve">  </t>
    </r>
    <r>
      <rPr>
        <b/>
        <sz val="12"/>
        <color theme="1"/>
        <rFont val="Calibri"/>
        <family val="2"/>
        <scheme val="minor"/>
      </rPr>
      <t>KECAMATAN  WAKORUMBA  UTARA</t>
    </r>
  </si>
  <si>
    <t>LAEYA</t>
  </si>
  <si>
    <t>TARGET DAN REALISASI</t>
  </si>
  <si>
    <t>PAJAK BUMI DAN BANGUNAN PERDESAAN DAN PERKOTAAN</t>
  </si>
  <si>
    <t>BADAN KEUANGAN DAERAH KABUPATEN BUTON UTARA TAHUN PAJAK 2019</t>
  </si>
  <si>
    <t>NAMA KEL./DESA</t>
  </si>
  <si>
    <t>JUMLAH OBYEK PAJAK</t>
  </si>
  <si>
    <t>PERSENTASE</t>
  </si>
  <si>
    <t>SISA TARGET</t>
  </si>
  <si>
    <t>(%)</t>
  </si>
  <si>
    <t>KECAMATAN KULISUSU</t>
  </si>
  <si>
    <t>KELURAHAN LIPU</t>
  </si>
  <si>
    <t>KELURAHAN BANGKUDU</t>
  </si>
  <si>
    <t>KELURAHAN LEMO</t>
  </si>
  <si>
    <t>KELURAHAN BONELIPU</t>
  </si>
  <si>
    <t>KELURAHAN LAKONEA</t>
  </si>
  <si>
    <t>KELURAHAN SARA'EA</t>
  </si>
  <si>
    <t>KELURAHAN WANDAKA</t>
  </si>
  <si>
    <t>DESA EELAHAJI</t>
  </si>
  <si>
    <t>DESA TOMOAHI</t>
  </si>
  <si>
    <t>DESA TRIWACU-WACU</t>
  </si>
  <si>
    <t>DESA WACU LAEA</t>
  </si>
  <si>
    <t>DESA LINSOWU</t>
  </si>
  <si>
    <t>DESA JAMPAKA</t>
  </si>
  <si>
    <t>DESA ROMBO</t>
  </si>
  <si>
    <t>DESA KALIBU</t>
  </si>
  <si>
    <t>DESA LOJI</t>
  </si>
  <si>
    <t>DESA LAANGKE</t>
  </si>
  <si>
    <t>DESA KADACUA</t>
  </si>
  <si>
    <t>DESA WASALABOSE</t>
  </si>
  <si>
    <t>DESA BANU-BANUA JAYA</t>
  </si>
  <si>
    <t>DESA LEMO EA</t>
  </si>
  <si>
    <t>DESA MALALANDA</t>
  </si>
  <si>
    <t>DESA LANTAGI</t>
  </si>
  <si>
    <t>JUMLAH</t>
  </si>
  <si>
    <t>KECAMATAN KULISUSU UTARA</t>
  </si>
  <si>
    <t>DESA WAODE BURI</t>
  </si>
  <si>
    <t>DESA ULUNAMBO</t>
  </si>
  <si>
    <t>DESA LELAMO</t>
  </si>
  <si>
    <t>DESA PETETEA</t>
  </si>
  <si>
    <t>DESA PEBAOA</t>
  </si>
  <si>
    <t>DESA LANOSANGIA</t>
  </si>
  <si>
    <t>DESA LAMOAHI</t>
  </si>
  <si>
    <t>DESA TOROMBIA</t>
  </si>
  <si>
    <t>DESA KUROLABU</t>
  </si>
  <si>
    <t>DESA LABELETE</t>
  </si>
  <si>
    <t>DESA WAMBOULE</t>
  </si>
  <si>
    <t>DESA EE RINERE</t>
  </si>
  <si>
    <t>DESA WOWONGA JAYA</t>
  </si>
  <si>
    <t>DESA BIRA</t>
  </si>
  <si>
    <t>KECAMATAN KULISUSU BARAT</t>
  </si>
  <si>
    <t>DESA KOTAWO</t>
  </si>
  <si>
    <t>DESA RAHMAT BARU</t>
  </si>
  <si>
    <t>DESA DAMPALA JAYA</t>
  </si>
  <si>
    <t>DESA MARGA KARYA</t>
  </si>
  <si>
    <t>DESA KARYA BAKTI</t>
  </si>
  <si>
    <t>DESA LAPANDEWA</t>
  </si>
  <si>
    <t>DESA LABULANDA</t>
  </si>
  <si>
    <t>DESA LAAUKI</t>
  </si>
  <si>
    <t>DESA MEKAR JAYA</t>
  </si>
  <si>
    <t>DESA KARYA MULIA</t>
  </si>
  <si>
    <t>DESA BUMI LAPERO</t>
  </si>
  <si>
    <t>DESA LAMBALE</t>
  </si>
  <si>
    <t>DESA SOLOI AGUNG</t>
  </si>
  <si>
    <t>DESA KASULATOMBI</t>
  </si>
  <si>
    <t>KECAMATAN BONEGUNU</t>
  </si>
  <si>
    <t>KELURAHAN BURANGA</t>
  </si>
  <si>
    <t>KELURAHAN BONEGUNU</t>
  </si>
  <si>
    <t>DESA WAODE KALOWO</t>
  </si>
  <si>
    <t>DESA KOEPISINO</t>
  </si>
  <si>
    <t>DESA LANOIPI</t>
  </si>
  <si>
    <t>DESA GUNUNG SARI</t>
  </si>
  <si>
    <t>DESA EEN SUMALA</t>
  </si>
  <si>
    <t>DESA RONTA</t>
  </si>
  <si>
    <t>DESA WAODE ANGKALO</t>
  </si>
  <si>
    <t>DESA LANGERE</t>
  </si>
  <si>
    <t>DESA LABORONA</t>
  </si>
  <si>
    <t>DESA KOBORUNO</t>
  </si>
  <si>
    <t>DESA NGAPAEA</t>
  </si>
  <si>
    <t>DESA TATOMBULI</t>
  </si>
  <si>
    <t>DESA RANTE GOLA</t>
  </si>
  <si>
    <t>KECAMATAN KAMBOWA</t>
  </si>
  <si>
    <t>KELURAHAN KAMBOWA</t>
  </si>
  <si>
    <t>DESA MATA</t>
  </si>
  <si>
    <t>DESA KONDE</t>
  </si>
  <si>
    <t>DESA LAGUNDI</t>
  </si>
  <si>
    <t>DESA PONGKOWULU</t>
  </si>
  <si>
    <t>DESA MORINDINO</t>
  </si>
  <si>
    <t>DESA LAHUMOKO JAYA</t>
  </si>
  <si>
    <t>DESA BUBU</t>
  </si>
  <si>
    <t>DESA BUBU BARAT</t>
  </si>
  <si>
    <t>DESA BALUARA</t>
  </si>
  <si>
    <t>DESA BENTE</t>
  </si>
  <si>
    <t>KECAMATAN WAKORUMBA UTARA</t>
  </si>
  <si>
    <t>KELURAHAN LABUAN</t>
  </si>
  <si>
    <t>DESA LASIWA</t>
  </si>
  <si>
    <t>DESA MATALAGI</t>
  </si>
  <si>
    <t>DESA LAEA</t>
  </si>
  <si>
    <t>KELURAHAN LABUAN WOLIO</t>
  </si>
  <si>
    <t>DESA WANTULASI</t>
  </si>
  <si>
    <t>DESA LABUAN BAJO</t>
  </si>
  <si>
    <t>DESA LABARAGA</t>
  </si>
  <si>
    <t>DESA OE NGKAPALA</t>
  </si>
  <si>
    <t>DESA LABAJAYA</t>
  </si>
  <si>
    <t>DESA SUMAMPENO</t>
  </si>
  <si>
    <t>DESA LABUKO</t>
  </si>
  <si>
    <t>DESA WAMORAPA</t>
  </si>
  <si>
    <t>TOTAL</t>
  </si>
  <si>
    <t>Buranga,  Oktober   2019</t>
  </si>
  <si>
    <t>Kepala Badan Keuangan Daerah</t>
  </si>
  <si>
    <t>H. TASIR, SE., M.Si</t>
  </si>
  <si>
    <t>Pembina Utama Muda, Gol. IV/c</t>
  </si>
  <si>
    <t>NIP. 19631231 198503 1 165</t>
  </si>
  <si>
    <r>
      <t xml:space="preserve">: TATA CARA PEMBAGIAN, PENGGUNAAN DAN PENETAPAN </t>
    </r>
    <r>
      <rPr>
        <sz val="14"/>
        <color theme="0"/>
        <rFont val="Bookman Old Style"/>
        <family val="1"/>
      </rPr>
      <t>....</t>
    </r>
    <r>
      <rPr>
        <sz val="14"/>
        <rFont val="Bookman Old Style"/>
        <family val="1"/>
      </rPr>
      <t xml:space="preserve">RINCIAN DANA BAGI HASIL PAJAK DAERAH DAN RETRIBUSI </t>
    </r>
    <r>
      <rPr>
        <sz val="14"/>
        <color theme="0"/>
        <rFont val="Bookman Old Style"/>
        <family val="1"/>
      </rPr>
      <t>....</t>
    </r>
    <r>
      <rPr>
        <sz val="14"/>
        <rFont val="Bookman Old Style"/>
        <family val="1"/>
      </rPr>
      <t xml:space="preserve">DAERAH KEPADA DESA DI KABUPATEN BUTON UTARA                         </t>
    </r>
    <r>
      <rPr>
        <sz val="14"/>
        <color theme="0"/>
        <rFont val="Bookman Old Style"/>
        <family val="1"/>
      </rPr>
      <t>....</t>
    </r>
    <r>
      <rPr>
        <sz val="14"/>
        <rFont val="Bookman Old Style"/>
        <family val="1"/>
      </rPr>
      <t>TAHUN ANGGARAN 2020.</t>
    </r>
  </si>
  <si>
    <t>Dana Bagi Hasil Pajak Per Desa</t>
  </si>
  <si>
    <t>Dana Bagi Hasil Retribusi Per Desa</t>
  </si>
  <si>
    <r>
      <t xml:space="preserve">: TATA CARA PEMBAGIAN, PENGGUNAAN DAN PENETAPAN </t>
    </r>
    <r>
      <rPr>
        <sz val="14"/>
        <color theme="0"/>
        <rFont val="Bookman Old Style"/>
        <family val="1"/>
      </rPr>
      <t>....</t>
    </r>
    <r>
      <rPr>
        <sz val="14"/>
        <rFont val="Bookman Old Style"/>
        <family val="1"/>
      </rPr>
      <t xml:space="preserve">RINCIAN DANA BAGI HASIL PAJAK DAERAH DAN RETRIBUSI </t>
    </r>
    <r>
      <rPr>
        <sz val="14"/>
        <color theme="0"/>
        <rFont val="Bookman Old Style"/>
        <family val="1"/>
      </rPr>
      <t>....</t>
    </r>
    <r>
      <rPr>
        <sz val="14"/>
        <rFont val="Bookman Old Style"/>
        <family val="1"/>
      </rPr>
      <t xml:space="preserve">DAERAH KEPADA DESA DI KABUPATEN BUTON UTARA  </t>
    </r>
    <r>
      <rPr>
        <sz val="14"/>
        <color theme="0"/>
        <rFont val="Bookman Old Style"/>
        <family val="1"/>
      </rPr>
      <t>....</t>
    </r>
    <r>
      <rPr>
        <sz val="14"/>
        <rFont val="Bookman Old Style"/>
        <family val="1"/>
      </rPr>
      <t>TAHUN ANGGARAN 2021.</t>
    </r>
  </si>
  <si>
    <t>ttd</t>
  </si>
  <si>
    <t>: 6 TAHUN 2021</t>
  </si>
  <si>
    <t>: 15-2-2021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</si>
</sst>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* #,##0_);_(* \(#,##0\);_(* &quot;-&quot;_);_(@_)"/>
    <numFmt numFmtId="165" formatCode="_(* #,##0.00_);_(* \(#,##0.00\);_(* &quot;-&quot;??_);_(@_)"/>
    <numFmt numFmtId="166" formatCode="_(* #,##0.00_);_(* \(#,##0.00\);_(* &quot;-&quot;_);_(@_)"/>
    <numFmt numFmtId="167" formatCode="#,##0.0000_);\(#,##0.0000\)"/>
    <numFmt numFmtId="168" formatCode="_(* #,##0_);_(* \(#,##0\);_(* &quot;-&quot;??_);_(@_)"/>
  </numFmts>
  <fonts count="69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i/>
      <sz val="14"/>
      <color rgb="FF0070C0"/>
      <name val="Calibri"/>
      <family val="2"/>
      <scheme val="minor"/>
    </font>
    <font>
      <i/>
      <sz val="11"/>
      <color rgb="FF0070C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1"/>
      <scheme val="minor"/>
    </font>
    <font>
      <u/>
      <sz val="11"/>
      <color theme="11"/>
      <name val="Calibri"/>
      <family val="2"/>
      <charset val="1"/>
      <scheme val="minor"/>
    </font>
    <font>
      <sz val="8"/>
      <name val="Calibri"/>
      <family val="2"/>
      <charset val="1"/>
      <scheme val="minor"/>
    </font>
    <font>
      <sz val="11"/>
      <color rgb="FF000000"/>
      <name val="Calibri"/>
      <family val="2"/>
    </font>
    <font>
      <sz val="14"/>
      <name val="Bookman Old Style"/>
      <family val="1"/>
    </font>
    <font>
      <sz val="10"/>
      <name val="Bookman Old Style"/>
      <family val="1"/>
    </font>
    <font>
      <sz val="11"/>
      <color theme="1"/>
      <name val="Bookman Old Style"/>
      <family val="1"/>
    </font>
    <font>
      <i/>
      <sz val="10"/>
      <color theme="1"/>
      <name val="Bookman Old Style"/>
      <family val="1"/>
    </font>
    <font>
      <sz val="10"/>
      <color theme="1"/>
      <name val="Bookman Old Style"/>
      <family val="1"/>
    </font>
    <font>
      <b/>
      <sz val="10"/>
      <color theme="1"/>
      <name val="Bookman Old Style"/>
      <family val="1"/>
    </font>
    <font>
      <b/>
      <i/>
      <sz val="14"/>
      <color rgb="FF0070C0"/>
      <name val="Bookman Old Style"/>
      <family val="1"/>
    </font>
    <font>
      <b/>
      <sz val="14"/>
      <color theme="1"/>
      <name val="Bookman Old Style"/>
      <family val="1"/>
    </font>
    <font>
      <b/>
      <sz val="14"/>
      <name val="Bookman Old Style"/>
      <family val="1"/>
    </font>
    <font>
      <sz val="14"/>
      <name val="Bookman Old Style"/>
      <family val="1"/>
    </font>
    <font>
      <u/>
      <sz val="14"/>
      <name val="Bookman Old Style"/>
      <family val="1"/>
    </font>
    <font>
      <i/>
      <sz val="10"/>
      <color theme="1"/>
      <name val="Calibri"/>
      <family val="2"/>
      <scheme val="minor"/>
    </font>
    <font>
      <b/>
      <sz val="12"/>
      <color theme="1"/>
      <name val="Bookman Old Style"/>
      <family val="1"/>
    </font>
    <font>
      <i/>
      <sz val="13"/>
      <color theme="1"/>
      <name val="Bookman Old Style"/>
      <family val="1"/>
    </font>
    <font>
      <sz val="13"/>
      <color rgb="FF000000"/>
      <name val="Bookman Old Style"/>
      <family val="1"/>
    </font>
    <font>
      <i/>
      <sz val="13"/>
      <name val="Bookman Old Style"/>
      <family val="1"/>
    </font>
    <font>
      <i/>
      <sz val="13"/>
      <color rgb="FF000000"/>
      <name val="Bookman Old Style"/>
      <family val="1"/>
    </font>
    <font>
      <sz val="13"/>
      <name val="Bookman Old Style"/>
      <family val="1"/>
    </font>
    <font>
      <sz val="13"/>
      <color theme="1"/>
      <name val="Bookman Old Style"/>
      <family val="1"/>
    </font>
    <font>
      <b/>
      <sz val="13"/>
      <color theme="1"/>
      <name val="Bookman Old Style"/>
      <family val="1"/>
    </font>
    <font>
      <b/>
      <sz val="13"/>
      <color rgb="FF000000"/>
      <name val="Bookman Old Style"/>
      <family val="1"/>
    </font>
    <font>
      <b/>
      <i/>
      <sz val="12"/>
      <color theme="0"/>
      <name val="Calibri"/>
      <family val="2"/>
      <scheme val="minor"/>
    </font>
    <font>
      <i/>
      <sz val="14"/>
      <color theme="1"/>
      <name val="Bookman Old Style"/>
      <family val="1"/>
    </font>
    <font>
      <b/>
      <i/>
      <sz val="14"/>
      <color theme="1"/>
      <name val="Bookman Old Style"/>
      <family val="1"/>
    </font>
    <font>
      <b/>
      <i/>
      <sz val="14"/>
      <color rgb="FF000000"/>
      <name val="Bookman Old Style"/>
      <family val="1"/>
    </font>
    <font>
      <sz val="14"/>
      <color theme="0"/>
      <name val="Bookman Old Style"/>
      <family val="1"/>
    </font>
    <font>
      <sz val="17"/>
      <name val="Bookman Old Style"/>
      <family val="1"/>
    </font>
    <font>
      <i/>
      <sz val="13"/>
      <color rgb="FFFF0000"/>
      <name val="Bookman Old Style"/>
      <family val="1"/>
    </font>
    <font>
      <sz val="13"/>
      <color rgb="FFFF0000"/>
      <name val="Bookman Old Style"/>
      <family val="1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7"/>
      <color theme="1"/>
      <name val="Times New Roman"/>
      <family val="1"/>
    </font>
    <font>
      <i/>
      <sz val="10"/>
      <name val="Bookman Old Style"/>
      <family val="1"/>
    </font>
    <font>
      <sz val="11"/>
      <name val="Bookman Old Style"/>
      <family val="1"/>
    </font>
    <font>
      <b/>
      <sz val="10"/>
      <color theme="0"/>
      <name val="Bookman Old Style"/>
      <family val="1"/>
    </font>
    <font>
      <sz val="11"/>
      <color rgb="FFFF0000"/>
      <name val="Bookman Old Style"/>
      <family val="1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sz val="11"/>
      <color theme="1"/>
      <name val="Arial Narrow"/>
      <family val="2"/>
    </font>
    <font>
      <b/>
      <sz val="10"/>
      <color theme="1"/>
      <name val="Tahoma"/>
      <family val="2"/>
    </font>
    <font>
      <sz val="10"/>
      <color theme="1"/>
      <name val="Tahoma"/>
      <family val="2"/>
    </font>
    <font>
      <sz val="10"/>
      <name val="Tahoma"/>
      <family val="2"/>
    </font>
    <font>
      <b/>
      <sz val="10"/>
      <name val="Tahoma"/>
      <family val="2"/>
    </font>
    <font>
      <b/>
      <u/>
      <sz val="10"/>
      <color theme="1"/>
      <name val="Tahoma"/>
      <family val="2"/>
    </font>
    <font>
      <sz val="10"/>
      <color theme="1"/>
      <name val="Calibri"/>
      <family val="2"/>
      <scheme val="minor"/>
    </font>
    <font>
      <sz val="10"/>
      <color theme="1"/>
      <name val="Arial Narrow"/>
      <family val="2"/>
    </font>
    <font>
      <b/>
      <i/>
      <u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0"/>
      <color theme="0"/>
      <name val="Bookman Old Style"/>
      <family val="1"/>
    </font>
    <font>
      <sz val="11"/>
      <color theme="0"/>
      <name val="Bookman Old Style"/>
      <family val="1"/>
    </font>
    <font>
      <sz val="11"/>
      <color theme="0"/>
      <name val="Calibri"/>
      <family val="2"/>
      <charset val="1"/>
      <scheme val="minor"/>
    </font>
    <font>
      <b/>
      <sz val="12"/>
      <color theme="0"/>
      <name val="Bookman Old Style"/>
      <family val="1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AEAAAA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00B05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3">
    <xf numFmtId="0" fontId="0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305">
    <xf numFmtId="0" fontId="0" fillId="0" borderId="0" xfId="0"/>
    <xf numFmtId="0" fontId="5" fillId="0" borderId="0" xfId="0" applyFont="1"/>
    <xf numFmtId="0" fontId="10" fillId="0" borderId="0" xfId="0" applyFont="1"/>
    <xf numFmtId="0" fontId="0" fillId="0" borderId="5" xfId="0" applyBorder="1" applyAlignment="1">
      <alignment horizontal="center"/>
    </xf>
    <xf numFmtId="0" fontId="0" fillId="0" borderId="1" xfId="0" applyBorder="1"/>
    <xf numFmtId="0" fontId="10" fillId="0" borderId="0" xfId="0" quotePrefix="1" applyFont="1" applyAlignment="1">
      <alignment horizontal="left"/>
    </xf>
    <xf numFmtId="9" fontId="0" fillId="0" borderId="1" xfId="2" quotePrefix="1" applyFont="1" applyBorder="1"/>
    <xf numFmtId="164" fontId="0" fillId="0" borderId="1" xfId="1" quotePrefix="1" applyFont="1" applyBorder="1" applyAlignment="1">
      <alignment horizontal="left"/>
    </xf>
    <xf numFmtId="9" fontId="0" fillId="0" borderId="1" xfId="2" applyFont="1" applyBorder="1"/>
    <xf numFmtId="0" fontId="0" fillId="0" borderId="0" xfId="0" applyBorder="1" applyAlignment="1">
      <alignment horizontal="center"/>
    </xf>
    <xf numFmtId="0" fontId="0" fillId="0" borderId="0" xfId="0" applyBorder="1"/>
    <xf numFmtId="9" fontId="0" fillId="0" borderId="0" xfId="2" quotePrefix="1" applyFont="1" applyBorder="1"/>
    <xf numFmtId="166" fontId="0" fillId="0" borderId="0" xfId="0" applyNumberFormat="1" applyBorder="1"/>
    <xf numFmtId="9" fontId="0" fillId="0" borderId="0" xfId="2" applyFont="1" applyBorder="1"/>
    <xf numFmtId="164" fontId="0" fillId="0" borderId="0" xfId="1" applyFont="1" applyBorder="1" applyAlignment="1">
      <alignment horizontal="right"/>
    </xf>
    <xf numFmtId="0" fontId="0" fillId="0" borderId="0" xfId="0" applyFill="1"/>
    <xf numFmtId="164" fontId="0" fillId="0" borderId="1" xfId="0" applyNumberFormat="1" applyBorder="1"/>
    <xf numFmtId="0" fontId="9" fillId="0" borderId="1" xfId="0" quotePrefix="1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164" fontId="7" fillId="0" borderId="6" xfId="1" applyFont="1" applyFill="1" applyBorder="1"/>
    <xf numFmtId="166" fontId="7" fillId="0" borderId="6" xfId="1" applyNumberFormat="1" applyFont="1" applyFill="1" applyBorder="1"/>
    <xf numFmtId="0" fontId="8" fillId="2" borderId="1" xfId="0" applyFont="1" applyFill="1" applyBorder="1" applyAlignment="1">
      <alignment horizontal="center" vertical="center" wrapText="1"/>
    </xf>
    <xf numFmtId="0" fontId="11" fillId="0" borderId="0" xfId="0" applyFont="1"/>
    <xf numFmtId="164" fontId="16" fillId="0" borderId="1" xfId="23" applyFont="1" applyBorder="1" applyAlignment="1">
      <alignment horizontal="right"/>
    </xf>
    <xf numFmtId="164" fontId="16" fillId="0" borderId="1" xfId="23" applyFont="1" applyBorder="1"/>
    <xf numFmtId="164" fontId="16" fillId="0" borderId="1" xfId="0" applyNumberFormat="1" applyFont="1" applyBorder="1"/>
    <xf numFmtId="164" fontId="0" fillId="0" borderId="0" xfId="0" applyNumberFormat="1"/>
    <xf numFmtId="167" fontId="9" fillId="0" borderId="1" xfId="0" quotePrefix="1" applyNumberFormat="1" applyFont="1" applyFill="1" applyBorder="1" applyAlignment="1">
      <alignment horizontal="center"/>
    </xf>
    <xf numFmtId="0" fontId="15" fillId="0" borderId="1" xfId="0" applyFont="1" applyFill="1" applyBorder="1" applyAlignment="1" applyProtection="1">
      <alignment vertical="center" wrapText="1"/>
    </xf>
    <xf numFmtId="0" fontId="15" fillId="0" borderId="1" xfId="0" applyFont="1" applyFill="1" applyBorder="1" applyAlignment="1" applyProtection="1">
      <alignment horizontal="right" vertical="center" wrapText="1"/>
    </xf>
    <xf numFmtId="164" fontId="7" fillId="0" borderId="1" xfId="1" applyFont="1" applyFill="1" applyBorder="1"/>
    <xf numFmtId="0" fontId="6" fillId="0" borderId="0" xfId="0" applyFont="1" applyAlignment="1">
      <alignment horizontal="center"/>
    </xf>
    <xf numFmtId="0" fontId="9" fillId="0" borderId="7" xfId="0" quotePrefix="1" applyFont="1" applyFill="1" applyBorder="1" applyAlignment="1">
      <alignment horizontal="center"/>
    </xf>
    <xf numFmtId="0" fontId="9" fillId="0" borderId="7" xfId="0" applyFont="1" applyFill="1" applyBorder="1" applyAlignment="1">
      <alignment horizontal="center"/>
    </xf>
    <xf numFmtId="164" fontId="17" fillId="0" borderId="1" xfId="23" applyFont="1" applyBorder="1" applyAlignment="1">
      <alignment horizontal="right"/>
    </xf>
    <xf numFmtId="0" fontId="18" fillId="0" borderId="0" xfId="0" applyFont="1"/>
    <xf numFmtId="0" fontId="18" fillId="0" borderId="0" xfId="0" applyFont="1" applyBorder="1"/>
    <xf numFmtId="0" fontId="18" fillId="0" borderId="0" xfId="0" applyFont="1" applyBorder="1" applyAlignment="1">
      <alignment horizontal="center"/>
    </xf>
    <xf numFmtId="9" fontId="18" fillId="0" borderId="0" xfId="2" quotePrefix="1" applyFont="1" applyBorder="1"/>
    <xf numFmtId="166" fontId="18" fillId="0" borderId="0" xfId="0" applyNumberFormat="1" applyFont="1" applyBorder="1"/>
    <xf numFmtId="9" fontId="18" fillId="0" borderId="0" xfId="2" applyFont="1" applyBorder="1"/>
    <xf numFmtId="164" fontId="18" fillId="0" borderId="0" xfId="1" applyFont="1" applyBorder="1" applyAlignment="1">
      <alignment horizontal="right"/>
    </xf>
    <xf numFmtId="0" fontId="20" fillId="0" borderId="0" xfId="0" applyFont="1"/>
    <xf numFmtId="0" fontId="19" fillId="0" borderId="0" xfId="0" quotePrefix="1" applyFont="1" applyAlignment="1">
      <alignment horizontal="left"/>
    </xf>
    <xf numFmtId="0" fontId="20" fillId="0" borderId="1" xfId="0" applyFont="1" applyBorder="1"/>
    <xf numFmtId="9" fontId="20" fillId="0" borderId="1" xfId="2" quotePrefix="1" applyFont="1" applyBorder="1"/>
    <xf numFmtId="164" fontId="20" fillId="0" borderId="1" xfId="0" applyNumberFormat="1" applyFont="1" applyBorder="1"/>
    <xf numFmtId="9" fontId="20" fillId="0" borderId="1" xfId="2" applyFont="1" applyBorder="1"/>
    <xf numFmtId="164" fontId="17" fillId="0" borderId="1" xfId="23" applyFont="1" applyBorder="1"/>
    <xf numFmtId="164" fontId="20" fillId="0" borderId="1" xfId="1" quotePrefix="1" applyFont="1" applyBorder="1" applyAlignment="1">
      <alignment horizontal="left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left"/>
    </xf>
    <xf numFmtId="0" fontId="26" fillId="0" borderId="0" xfId="0" applyFont="1" applyAlignment="1">
      <alignment horizontal="left"/>
    </xf>
    <xf numFmtId="0" fontId="27" fillId="0" borderId="0" xfId="0" applyFont="1" applyAlignment="1">
      <alignment horizontal="center" vertical="center"/>
    </xf>
    <xf numFmtId="164" fontId="0" fillId="0" borderId="0" xfId="1" applyFont="1"/>
    <xf numFmtId="0" fontId="20" fillId="0" borderId="0" xfId="0" applyFont="1" applyBorder="1"/>
    <xf numFmtId="0" fontId="23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9" fontId="0" fillId="0" borderId="0" xfId="2" applyFont="1"/>
    <xf numFmtId="0" fontId="29" fillId="0" borderId="1" xfId="0" quotePrefix="1" applyFont="1" applyFill="1" applyBorder="1" applyAlignment="1">
      <alignment horizontal="center"/>
    </xf>
    <xf numFmtId="0" fontId="30" fillId="0" borderId="1" xfId="0" applyFont="1" applyFill="1" applyBorder="1" applyAlignment="1" applyProtection="1">
      <alignment vertical="center" wrapText="1"/>
    </xf>
    <xf numFmtId="164" fontId="31" fillId="0" borderId="1" xfId="0" applyNumberFormat="1" applyFont="1" applyBorder="1"/>
    <xf numFmtId="9" fontId="32" fillId="0" borderId="1" xfId="0" applyNumberFormat="1" applyFont="1" applyFill="1" applyBorder="1" applyAlignment="1" applyProtection="1">
      <alignment horizontal="center" vertical="center" wrapText="1"/>
    </xf>
    <xf numFmtId="164" fontId="29" fillId="0" borderId="1" xfId="1" quotePrefix="1" applyFont="1" applyFill="1" applyBorder="1" applyAlignment="1">
      <alignment horizontal="center"/>
    </xf>
    <xf numFmtId="164" fontId="29" fillId="0" borderId="1" xfId="0" applyNumberFormat="1" applyFont="1" applyFill="1" applyBorder="1" applyAlignment="1">
      <alignment horizontal="center"/>
    </xf>
    <xf numFmtId="0" fontId="29" fillId="0" borderId="0" xfId="0" applyFont="1"/>
    <xf numFmtId="164" fontId="33" fillId="0" borderId="1" xfId="0" applyNumberFormat="1" applyFont="1" applyBorder="1"/>
    <xf numFmtId="9" fontId="30" fillId="0" borderId="1" xfId="0" applyNumberFormat="1" applyFont="1" applyFill="1" applyBorder="1" applyAlignment="1" applyProtection="1">
      <alignment horizontal="center" vertical="center" wrapText="1"/>
    </xf>
    <xf numFmtId="0" fontId="29" fillId="0" borderId="1" xfId="0" applyFont="1" applyFill="1" applyBorder="1" applyAlignment="1">
      <alignment horizontal="center"/>
    </xf>
    <xf numFmtId="0" fontId="34" fillId="0" borderId="0" xfId="0" applyFont="1" applyAlignment="1">
      <alignment horizontal="center"/>
    </xf>
    <xf numFmtId="164" fontId="35" fillId="0" borderId="1" xfId="1" applyFont="1" applyFill="1" applyBorder="1" applyAlignment="1">
      <alignment horizontal="center"/>
    </xf>
    <xf numFmtId="9" fontId="36" fillId="0" borderId="1" xfId="0" applyNumberFormat="1" applyFont="1" applyFill="1" applyBorder="1" applyAlignment="1" applyProtection="1">
      <alignment horizontal="center" vertical="center" wrapText="1"/>
    </xf>
    <xf numFmtId="0" fontId="34" fillId="0" borderId="0" xfId="0" applyFont="1" applyFill="1" applyAlignment="1">
      <alignment horizontal="center"/>
    </xf>
    <xf numFmtId="0" fontId="28" fillId="2" borderId="1" xfId="0" applyFont="1" applyFill="1" applyBorder="1" applyAlignment="1">
      <alignment horizontal="center" vertical="center" wrapText="1"/>
    </xf>
    <xf numFmtId="0" fontId="37" fillId="3" borderId="1" xfId="0" quotePrefix="1" applyFont="1" applyFill="1" applyBorder="1" applyAlignment="1">
      <alignment horizontal="center" vertical="center"/>
    </xf>
    <xf numFmtId="0" fontId="37" fillId="3" borderId="1" xfId="0" applyFont="1" applyFill="1" applyBorder="1" applyAlignment="1">
      <alignment horizontal="center" vertical="center"/>
    </xf>
    <xf numFmtId="0" fontId="29" fillId="4" borderId="1" xfId="0" quotePrefix="1" applyFont="1" applyFill="1" applyBorder="1" applyAlignment="1">
      <alignment horizontal="center"/>
    </xf>
    <xf numFmtId="0" fontId="30" fillId="4" borderId="1" xfId="0" applyFont="1" applyFill="1" applyBorder="1" applyAlignment="1" applyProtection="1">
      <alignment vertical="center" wrapText="1"/>
    </xf>
    <xf numFmtId="164" fontId="31" fillId="4" borderId="1" xfId="0" applyNumberFormat="1" applyFont="1" applyFill="1" applyBorder="1"/>
    <xf numFmtId="9" fontId="32" fillId="4" borderId="1" xfId="0" applyNumberFormat="1" applyFont="1" applyFill="1" applyBorder="1" applyAlignment="1" applyProtection="1">
      <alignment horizontal="center" vertical="center" wrapText="1"/>
    </xf>
    <xf numFmtId="164" fontId="29" fillId="4" borderId="1" xfId="1" quotePrefix="1" applyFont="1" applyFill="1" applyBorder="1" applyAlignment="1">
      <alignment horizontal="center"/>
    </xf>
    <xf numFmtId="164" fontId="29" fillId="4" borderId="1" xfId="0" applyNumberFormat="1" applyFont="1" applyFill="1" applyBorder="1" applyAlignment="1">
      <alignment horizontal="center"/>
    </xf>
    <xf numFmtId="0" fontId="29" fillId="4" borderId="0" xfId="0" applyFont="1" applyFill="1"/>
    <xf numFmtId="0" fontId="29" fillId="5" borderId="1" xfId="0" quotePrefix="1" applyFont="1" applyFill="1" applyBorder="1" applyAlignment="1">
      <alignment horizontal="center"/>
    </xf>
    <xf numFmtId="0" fontId="30" fillId="5" borderId="1" xfId="0" applyFont="1" applyFill="1" applyBorder="1" applyAlignment="1" applyProtection="1">
      <alignment vertical="center" wrapText="1"/>
    </xf>
    <xf numFmtId="164" fontId="31" fillId="5" borderId="1" xfId="0" applyNumberFormat="1" applyFont="1" applyFill="1" applyBorder="1"/>
    <xf numFmtId="9" fontId="32" fillId="5" borderId="1" xfId="0" applyNumberFormat="1" applyFont="1" applyFill="1" applyBorder="1" applyAlignment="1" applyProtection="1">
      <alignment horizontal="center" vertical="center" wrapText="1"/>
    </xf>
    <xf numFmtId="164" fontId="29" fillId="5" borderId="1" xfId="1" quotePrefix="1" applyFont="1" applyFill="1" applyBorder="1" applyAlignment="1">
      <alignment horizontal="center"/>
    </xf>
    <xf numFmtId="164" fontId="29" fillId="5" borderId="1" xfId="0" applyNumberFormat="1" applyFont="1" applyFill="1" applyBorder="1" applyAlignment="1">
      <alignment horizontal="center"/>
    </xf>
    <xf numFmtId="0" fontId="29" fillId="5" borderId="0" xfId="0" applyFont="1" applyFill="1"/>
    <xf numFmtId="0" fontId="23" fillId="0" borderId="0" xfId="0" applyFont="1" applyAlignment="1"/>
    <xf numFmtId="0" fontId="24" fillId="0" borderId="0" xfId="0" applyFont="1" applyAlignment="1">
      <alignment horizontal="center" vertical="top"/>
    </xf>
    <xf numFmtId="164" fontId="34" fillId="0" borderId="1" xfId="1" quotePrefix="1" applyFont="1" applyFill="1" applyBorder="1" applyAlignment="1">
      <alignment horizontal="center"/>
    </xf>
    <xf numFmtId="164" fontId="34" fillId="0" borderId="1" xfId="0" applyNumberFormat="1" applyFont="1" applyFill="1" applyBorder="1" applyAlignment="1">
      <alignment horizontal="center"/>
    </xf>
    <xf numFmtId="164" fontId="33" fillId="4" borderId="1" xfId="0" applyNumberFormat="1" applyFont="1" applyFill="1" applyBorder="1"/>
    <xf numFmtId="164" fontId="34" fillId="4" borderId="1" xfId="1" quotePrefix="1" applyFont="1" applyFill="1" applyBorder="1" applyAlignment="1">
      <alignment horizontal="center"/>
    </xf>
    <xf numFmtId="164" fontId="34" fillId="4" borderId="1" xfId="0" applyNumberFormat="1" applyFont="1" applyFill="1" applyBorder="1" applyAlignment="1">
      <alignment horizontal="center"/>
    </xf>
    <xf numFmtId="9" fontId="20" fillId="0" borderId="0" xfId="2" quotePrefix="1" applyFont="1" applyBorder="1"/>
    <xf numFmtId="9" fontId="40" fillId="0" borderId="1" xfId="0" applyNumberFormat="1" applyFont="1" applyFill="1" applyBorder="1" applyAlignment="1" applyProtection="1">
      <alignment horizontal="center" vertical="center" wrapText="1"/>
    </xf>
    <xf numFmtId="0" fontId="38" fillId="0" borderId="0" xfId="0" applyFont="1" applyAlignment="1">
      <alignment horizontal="center" vertical="center"/>
    </xf>
    <xf numFmtId="164" fontId="39" fillId="0" borderId="1" xfId="1" applyFont="1" applyFill="1" applyBorder="1" applyAlignment="1">
      <alignment horizontal="center" vertical="center"/>
    </xf>
    <xf numFmtId="0" fontId="38" fillId="0" borderId="0" xfId="0" applyFont="1" applyFill="1" applyAlignment="1">
      <alignment horizontal="center" vertical="center"/>
    </xf>
    <xf numFmtId="10" fontId="30" fillId="0" borderId="1" xfId="0" applyNumberFormat="1" applyFont="1" applyFill="1" applyBorder="1" applyAlignment="1" applyProtection="1">
      <alignment horizontal="center" vertical="center" wrapText="1"/>
    </xf>
    <xf numFmtId="10" fontId="30" fillId="4" borderId="1" xfId="0" applyNumberFormat="1" applyFont="1" applyFill="1" applyBorder="1" applyAlignment="1" applyProtection="1">
      <alignment horizontal="center" vertical="center" wrapText="1"/>
    </xf>
    <xf numFmtId="164" fontId="0" fillId="0" borderId="0" xfId="1" quotePrefix="1" applyFont="1"/>
    <xf numFmtId="0" fontId="43" fillId="4" borderId="1" xfId="0" quotePrefix="1" applyFont="1" applyFill="1" applyBorder="1" applyAlignment="1">
      <alignment horizontal="center"/>
    </xf>
    <xf numFmtId="0" fontId="44" fillId="4" borderId="1" xfId="0" applyFont="1" applyFill="1" applyBorder="1" applyAlignment="1" applyProtection="1">
      <alignment vertical="center" wrapText="1"/>
    </xf>
    <xf numFmtId="164" fontId="43" fillId="4" borderId="1" xfId="0" applyNumberFormat="1" applyFont="1" applyFill="1" applyBorder="1"/>
    <xf numFmtId="9" fontId="43" fillId="4" borderId="1" xfId="0" applyNumberFormat="1" applyFont="1" applyFill="1" applyBorder="1" applyAlignment="1" applyProtection="1">
      <alignment horizontal="center" vertical="center" wrapText="1"/>
    </xf>
    <xf numFmtId="164" fontId="43" fillId="4" borderId="1" xfId="1" quotePrefix="1" applyFont="1" applyFill="1" applyBorder="1" applyAlignment="1">
      <alignment horizontal="center"/>
    </xf>
    <xf numFmtId="164" fontId="43" fillId="4" borderId="1" xfId="0" applyNumberFormat="1" applyFont="1" applyFill="1" applyBorder="1" applyAlignment="1">
      <alignment horizontal="center"/>
    </xf>
    <xf numFmtId="0" fontId="43" fillId="4" borderId="0" xfId="0" applyFont="1" applyFill="1"/>
    <xf numFmtId="0" fontId="29" fillId="3" borderId="1" xfId="0" quotePrefix="1" applyFont="1" applyFill="1" applyBorder="1" applyAlignment="1">
      <alignment horizontal="center"/>
    </xf>
    <xf numFmtId="0" fontId="30" fillId="3" borderId="1" xfId="0" applyFont="1" applyFill="1" applyBorder="1" applyAlignment="1" applyProtection="1">
      <alignment vertical="center" wrapText="1"/>
    </xf>
    <xf numFmtId="164" fontId="33" fillId="3" borderId="1" xfId="0" applyNumberFormat="1" applyFont="1" applyFill="1" applyBorder="1"/>
    <xf numFmtId="9" fontId="30" fillId="3" borderId="1" xfId="0" applyNumberFormat="1" applyFont="1" applyFill="1" applyBorder="1" applyAlignment="1" applyProtection="1">
      <alignment horizontal="center" vertical="center" wrapText="1"/>
    </xf>
    <xf numFmtId="0" fontId="29" fillId="3" borderId="1" xfId="0" applyFont="1" applyFill="1" applyBorder="1" applyAlignment="1">
      <alignment horizontal="center"/>
    </xf>
    <xf numFmtId="164" fontId="39" fillId="3" borderId="1" xfId="1" applyFont="1" applyFill="1" applyBorder="1" applyAlignment="1">
      <alignment horizontal="center" vertical="center"/>
    </xf>
    <xf numFmtId="0" fontId="46" fillId="6" borderId="15" xfId="0" applyFont="1" applyFill="1" applyBorder="1" applyAlignment="1">
      <alignment horizontal="center" vertical="center" wrapText="1"/>
    </xf>
    <xf numFmtId="0" fontId="46" fillId="6" borderId="16" xfId="0" applyFont="1" applyFill="1" applyBorder="1" applyAlignment="1">
      <alignment horizontal="center" vertical="center" wrapText="1"/>
    </xf>
    <xf numFmtId="0" fontId="45" fillId="0" borderId="17" xfId="0" applyFont="1" applyBorder="1" applyAlignment="1">
      <alignment horizontal="justify" vertical="center" wrapText="1"/>
    </xf>
    <xf numFmtId="0" fontId="45" fillId="0" borderId="18" xfId="0" applyFont="1" applyBorder="1" applyAlignment="1">
      <alignment horizontal="justify" vertical="center" wrapText="1"/>
    </xf>
    <xf numFmtId="3" fontId="45" fillId="0" borderId="18" xfId="0" applyNumberFormat="1" applyFont="1" applyBorder="1" applyAlignment="1">
      <alignment horizontal="left" vertical="center" wrapText="1"/>
    </xf>
    <xf numFmtId="0" fontId="45" fillId="0" borderId="0" xfId="0" applyFont="1" applyAlignment="1">
      <alignment horizontal="justify" vertical="center"/>
    </xf>
    <xf numFmtId="0" fontId="47" fillId="0" borderId="0" xfId="0" applyFont="1" applyAlignment="1">
      <alignment horizontal="justify" vertical="center"/>
    </xf>
    <xf numFmtId="3" fontId="45" fillId="0" borderId="18" xfId="0" applyNumberFormat="1" applyFont="1" applyBorder="1" applyAlignment="1">
      <alignment horizontal="justify" vertical="center" wrapText="1"/>
    </xf>
    <xf numFmtId="0" fontId="7" fillId="0" borderId="0" xfId="0" applyFont="1" applyAlignment="1">
      <alignment horizontal="justify" vertical="center"/>
    </xf>
    <xf numFmtId="0" fontId="45" fillId="0" borderId="0" xfId="0" applyFont="1" applyAlignment="1">
      <alignment horizontal="left" vertical="center"/>
    </xf>
    <xf numFmtId="0" fontId="47" fillId="0" borderId="0" xfId="0" applyFont="1" applyAlignment="1">
      <alignment horizontal="left" vertical="center" indent="5"/>
    </xf>
    <xf numFmtId="0" fontId="17" fillId="0" borderId="0" xfId="0" applyFont="1"/>
    <xf numFmtId="0" fontId="49" fillId="0" borderId="0" xfId="0" quotePrefix="1" applyFont="1" applyAlignment="1">
      <alignment horizontal="left"/>
    </xf>
    <xf numFmtId="0" fontId="50" fillId="0" borderId="0" xfId="0" applyFont="1" applyBorder="1"/>
    <xf numFmtId="0" fontId="50" fillId="0" borderId="0" xfId="0" applyFont="1"/>
    <xf numFmtId="166" fontId="50" fillId="0" borderId="0" xfId="0" applyNumberFormat="1" applyFont="1" applyBorder="1"/>
    <xf numFmtId="9" fontId="50" fillId="0" borderId="0" xfId="2" applyFont="1" applyBorder="1"/>
    <xf numFmtId="0" fontId="52" fillId="0" borderId="0" xfId="0" applyFont="1" applyBorder="1"/>
    <xf numFmtId="9" fontId="52" fillId="0" borderId="0" xfId="2" quotePrefix="1" applyFont="1" applyBorder="1"/>
    <xf numFmtId="166" fontId="52" fillId="0" borderId="0" xfId="0" applyNumberFormat="1" applyFont="1" applyBorder="1"/>
    <xf numFmtId="0" fontId="54" fillId="0" borderId="0" xfId="30" applyFont="1"/>
    <xf numFmtId="0" fontId="55" fillId="0" borderId="0" xfId="30" applyFont="1"/>
    <xf numFmtId="0" fontId="54" fillId="0" borderId="0" xfId="30" applyFont="1" applyAlignment="1">
      <alignment horizontal="center"/>
    </xf>
    <xf numFmtId="168" fontId="54" fillId="0" borderId="0" xfId="31" applyNumberFormat="1" applyFont="1" applyAlignment="1">
      <alignment horizontal="center"/>
    </xf>
    <xf numFmtId="0" fontId="56" fillId="4" borderId="19" xfId="30" applyFont="1" applyFill="1" applyBorder="1" applyAlignment="1">
      <alignment horizontal="center" vertical="center" wrapText="1"/>
    </xf>
    <xf numFmtId="0" fontId="57" fillId="0" borderId="0" xfId="30" applyFont="1"/>
    <xf numFmtId="0" fontId="56" fillId="4" borderId="20" xfId="30" applyFont="1" applyFill="1" applyBorder="1" applyAlignment="1">
      <alignment horizontal="center" vertical="center" wrapText="1"/>
    </xf>
    <xf numFmtId="0" fontId="57" fillId="7" borderId="1" xfId="30" applyFont="1" applyFill="1" applyBorder="1" applyAlignment="1">
      <alignment horizontal="center" vertical="center" wrapText="1"/>
    </xf>
    <xf numFmtId="0" fontId="58" fillId="7" borderId="1" xfId="30" applyFont="1" applyFill="1" applyBorder="1" applyAlignment="1">
      <alignment vertical="center" wrapText="1"/>
    </xf>
    <xf numFmtId="0" fontId="58" fillId="7" borderId="1" xfId="30" applyFont="1" applyFill="1" applyBorder="1" applyAlignment="1">
      <alignment horizontal="center" vertical="center" wrapText="1"/>
    </xf>
    <xf numFmtId="168" fontId="58" fillId="7" borderId="1" xfId="31" applyNumberFormat="1" applyFont="1" applyFill="1" applyBorder="1" applyAlignment="1">
      <alignment horizontal="center" vertical="center" wrapText="1"/>
    </xf>
    <xf numFmtId="9" fontId="58" fillId="7" borderId="1" xfId="32" applyFont="1" applyFill="1" applyBorder="1" applyAlignment="1">
      <alignment horizontal="center" vertical="center" wrapText="1"/>
    </xf>
    <xf numFmtId="168" fontId="58" fillId="7" borderId="1" xfId="30" applyNumberFormat="1" applyFont="1" applyFill="1" applyBorder="1" applyAlignment="1">
      <alignment horizontal="center" vertical="center" wrapText="1"/>
    </xf>
    <xf numFmtId="168" fontId="57" fillId="0" borderId="0" xfId="31" applyNumberFormat="1" applyFont="1"/>
    <xf numFmtId="0" fontId="57" fillId="7" borderId="0" xfId="30" applyFont="1" applyFill="1"/>
    <xf numFmtId="0" fontId="55" fillId="7" borderId="0" xfId="30" applyFont="1" applyFill="1"/>
    <xf numFmtId="0" fontId="58" fillId="7" borderId="1" xfId="30" applyFont="1" applyFill="1" applyBorder="1" applyAlignment="1">
      <alignment horizontal="left" vertical="center" wrapText="1"/>
    </xf>
    <xf numFmtId="0" fontId="58" fillId="7" borderId="1" xfId="30" applyFont="1" applyFill="1" applyBorder="1" applyAlignment="1">
      <alignment horizontal="center" vertical="center"/>
    </xf>
    <xf numFmtId="168" fontId="58" fillId="7" borderId="1" xfId="31" applyNumberFormat="1" applyFont="1" applyFill="1" applyBorder="1" applyAlignment="1">
      <alignment horizontal="center" vertical="center"/>
    </xf>
    <xf numFmtId="0" fontId="59" fillId="7" borderId="1" xfId="30" applyFont="1" applyFill="1" applyBorder="1" applyAlignment="1">
      <alignment vertical="center" wrapText="1"/>
    </xf>
    <xf numFmtId="168" fontId="59" fillId="7" borderId="1" xfId="31" applyNumberFormat="1" applyFont="1" applyFill="1" applyBorder="1" applyAlignment="1">
      <alignment horizontal="center" vertical="center" wrapText="1"/>
    </xf>
    <xf numFmtId="168" fontId="59" fillId="7" borderId="1" xfId="30" applyNumberFormat="1" applyFont="1" applyFill="1" applyBorder="1" applyAlignment="1">
      <alignment horizontal="center" vertical="center" wrapText="1"/>
    </xf>
    <xf numFmtId="0" fontId="57" fillId="0" borderId="1" xfId="30" applyFont="1" applyBorder="1" applyAlignment="1">
      <alignment horizontal="center" vertical="center" wrapText="1"/>
    </xf>
    <xf numFmtId="0" fontId="57" fillId="7" borderId="1" xfId="30" applyFont="1" applyFill="1" applyBorder="1" applyAlignment="1">
      <alignment vertical="center" wrapText="1"/>
    </xf>
    <xf numFmtId="168" fontId="57" fillId="7" borderId="1" xfId="31" applyNumberFormat="1" applyFont="1" applyFill="1" applyBorder="1" applyAlignment="1">
      <alignment horizontal="center" vertical="center" wrapText="1"/>
    </xf>
    <xf numFmtId="168" fontId="57" fillId="0" borderId="0" xfId="30" applyNumberFormat="1" applyFont="1"/>
    <xf numFmtId="0" fontId="56" fillId="0" borderId="1" xfId="30" applyFont="1" applyBorder="1" applyAlignment="1">
      <alignment horizontal="center" vertical="center" wrapText="1"/>
    </xf>
    <xf numFmtId="168" fontId="56" fillId="0" borderId="1" xfId="30" applyNumberFormat="1" applyFont="1" applyBorder="1" applyAlignment="1">
      <alignment horizontal="center" vertical="center" wrapText="1"/>
    </xf>
    <xf numFmtId="168" fontId="56" fillId="0" borderId="1" xfId="31" applyNumberFormat="1" applyFont="1" applyBorder="1" applyAlignment="1">
      <alignment horizontal="center" vertical="center" wrapText="1"/>
    </xf>
    <xf numFmtId="0" fontId="57" fillId="0" borderId="1" xfId="30" applyFont="1" applyBorder="1" applyAlignment="1">
      <alignment horizontal="center"/>
    </xf>
    <xf numFmtId="9" fontId="57" fillId="7" borderId="1" xfId="32" applyFont="1" applyFill="1" applyBorder="1" applyAlignment="1">
      <alignment horizontal="center" vertical="center" wrapText="1"/>
    </xf>
    <xf numFmtId="168" fontId="57" fillId="7" borderId="1" xfId="30" applyNumberFormat="1" applyFont="1" applyFill="1" applyBorder="1" applyAlignment="1">
      <alignment horizontal="center" vertical="center" wrapText="1"/>
    </xf>
    <xf numFmtId="168" fontId="56" fillId="7" borderId="1" xfId="30" applyNumberFormat="1" applyFont="1" applyFill="1" applyBorder="1" applyAlignment="1">
      <alignment horizontal="center" vertical="center" wrapText="1"/>
    </xf>
    <xf numFmtId="0" fontId="57" fillId="0" borderId="8" xfId="30" applyFont="1" applyBorder="1" applyAlignment="1">
      <alignment horizontal="center"/>
    </xf>
    <xf numFmtId="0" fontId="59" fillId="7" borderId="9" xfId="30" applyFont="1" applyFill="1" applyBorder="1" applyAlignment="1">
      <alignment vertical="center" wrapText="1"/>
    </xf>
    <xf numFmtId="168" fontId="59" fillId="7" borderId="9" xfId="31" applyNumberFormat="1" applyFont="1" applyFill="1" applyBorder="1" applyAlignment="1">
      <alignment horizontal="center" vertical="center" wrapText="1"/>
    </xf>
    <xf numFmtId="9" fontId="57" fillId="7" borderId="9" xfId="32" applyFont="1" applyFill="1" applyBorder="1" applyAlignment="1">
      <alignment horizontal="center" vertical="center" wrapText="1"/>
    </xf>
    <xf numFmtId="168" fontId="57" fillId="7" borderId="10" xfId="30" applyNumberFormat="1" applyFont="1" applyFill="1" applyBorder="1" applyAlignment="1">
      <alignment horizontal="center" vertical="center" wrapText="1"/>
    </xf>
    <xf numFmtId="0" fontId="57" fillId="0" borderId="5" xfId="30" applyFont="1" applyBorder="1" applyAlignment="1">
      <alignment horizontal="center"/>
    </xf>
    <xf numFmtId="0" fontId="59" fillId="7" borderId="0" xfId="30" applyFont="1" applyFill="1" applyAlignment="1">
      <alignment vertical="center" wrapText="1"/>
    </xf>
    <xf numFmtId="168" fontId="59" fillId="7" borderId="0" xfId="31" applyNumberFormat="1" applyFont="1" applyFill="1" applyAlignment="1">
      <alignment horizontal="center" vertical="center" wrapText="1"/>
    </xf>
    <xf numFmtId="9" fontId="57" fillId="7" borderId="0" xfId="32" applyFont="1" applyFill="1" applyAlignment="1">
      <alignment horizontal="center" vertical="center" wrapText="1"/>
    </xf>
    <xf numFmtId="168" fontId="57" fillId="7" borderId="21" xfId="30" applyNumberFormat="1" applyFont="1" applyFill="1" applyBorder="1" applyAlignment="1">
      <alignment horizontal="center" vertical="center" wrapText="1"/>
    </xf>
    <xf numFmtId="0" fontId="57" fillId="0" borderId="11" xfId="30" applyFont="1" applyBorder="1" applyAlignment="1">
      <alignment horizontal="center"/>
    </xf>
    <xf numFmtId="0" fontId="59" fillId="7" borderId="12" xfId="30" applyFont="1" applyFill="1" applyBorder="1" applyAlignment="1">
      <alignment vertical="center" wrapText="1"/>
    </xf>
    <xf numFmtId="168" fontId="59" fillId="7" borderId="12" xfId="31" applyNumberFormat="1" applyFont="1" applyFill="1" applyBorder="1" applyAlignment="1">
      <alignment horizontal="center" vertical="center" wrapText="1"/>
    </xf>
    <xf numFmtId="9" fontId="57" fillId="7" borderId="12" xfId="32" applyFont="1" applyFill="1" applyBorder="1" applyAlignment="1">
      <alignment horizontal="center" vertical="center" wrapText="1"/>
    </xf>
    <xf numFmtId="168" fontId="57" fillId="7" borderId="13" xfId="30" applyNumberFormat="1" applyFont="1" applyFill="1" applyBorder="1" applyAlignment="1">
      <alignment horizontal="center" vertical="center" wrapText="1"/>
    </xf>
    <xf numFmtId="0" fontId="57" fillId="7" borderId="1" xfId="30" applyFont="1" applyFill="1" applyBorder="1" applyAlignment="1">
      <alignment horizontal="center" vertical="center"/>
    </xf>
    <xf numFmtId="0" fontId="57" fillId="0" borderId="1" xfId="30" applyFont="1" applyBorder="1" applyAlignment="1">
      <alignment horizontal="center" vertical="center"/>
    </xf>
    <xf numFmtId="9" fontId="59" fillId="7" borderId="1" xfId="32" applyFont="1" applyFill="1" applyBorder="1" applyAlignment="1">
      <alignment horizontal="center" vertical="center" wrapText="1"/>
    </xf>
    <xf numFmtId="168" fontId="58" fillId="7" borderId="1" xfId="31" applyNumberFormat="1" applyFont="1" applyFill="1" applyBorder="1" applyAlignment="1">
      <alignment vertical="center" wrapText="1"/>
    </xf>
    <xf numFmtId="168" fontId="57" fillId="7" borderId="1" xfId="31" applyNumberFormat="1" applyFont="1" applyFill="1" applyBorder="1" applyAlignment="1">
      <alignment vertical="center" wrapText="1"/>
    </xf>
    <xf numFmtId="168" fontId="55" fillId="0" borderId="0" xfId="30" applyNumberFormat="1" applyFont="1"/>
    <xf numFmtId="0" fontId="56" fillId="7" borderId="1" xfId="30" applyFont="1" applyFill="1" applyBorder="1" applyAlignment="1">
      <alignment vertical="center" wrapText="1"/>
    </xf>
    <xf numFmtId="168" fontId="56" fillId="7" borderId="1" xfId="31" applyNumberFormat="1" applyFont="1" applyFill="1" applyBorder="1" applyAlignment="1">
      <alignment vertical="center" wrapText="1"/>
    </xf>
    <xf numFmtId="168" fontId="56" fillId="7" borderId="1" xfId="31" applyNumberFormat="1" applyFont="1" applyFill="1" applyBorder="1" applyAlignment="1">
      <alignment horizontal="center" vertical="center" wrapText="1"/>
    </xf>
    <xf numFmtId="0" fontId="57" fillId="0" borderId="20" xfId="30" applyFont="1" applyBorder="1" applyAlignment="1">
      <alignment horizontal="center" vertical="center"/>
    </xf>
    <xf numFmtId="0" fontId="57" fillId="7" borderId="20" xfId="30" applyFont="1" applyFill="1" applyBorder="1" applyAlignment="1">
      <alignment vertical="center" wrapText="1"/>
    </xf>
    <xf numFmtId="168" fontId="57" fillId="7" borderId="20" xfId="31" applyNumberFormat="1" applyFont="1" applyFill="1" applyBorder="1" applyAlignment="1">
      <alignment horizontal="center" vertical="center" wrapText="1"/>
    </xf>
    <xf numFmtId="0" fontId="57" fillId="0" borderId="0" xfId="30" applyFont="1" applyAlignment="1">
      <alignment horizontal="center"/>
    </xf>
    <xf numFmtId="168" fontId="57" fillId="0" borderId="0" xfId="31" applyNumberFormat="1" applyFont="1" applyAlignment="1">
      <alignment horizontal="center"/>
    </xf>
    <xf numFmtId="0" fontId="61" fillId="0" borderId="0" xfId="30" applyFont="1"/>
    <xf numFmtId="0" fontId="61" fillId="0" borderId="0" xfId="30" applyFont="1" applyAlignment="1">
      <alignment horizontal="center"/>
    </xf>
    <xf numFmtId="168" fontId="61" fillId="0" borderId="0" xfId="31" applyNumberFormat="1" applyFont="1" applyAlignment="1">
      <alignment horizontal="center"/>
    </xf>
    <xf numFmtId="0" fontId="62" fillId="0" borderId="0" xfId="30" applyFont="1"/>
    <xf numFmtId="0" fontId="2" fillId="0" borderId="0" xfId="30" applyAlignment="1">
      <alignment horizontal="center"/>
    </xf>
    <xf numFmtId="168" fontId="63" fillId="0" borderId="0" xfId="31" applyNumberFormat="1" applyFont="1" applyAlignment="1">
      <alignment horizontal="left"/>
    </xf>
    <xf numFmtId="0" fontId="63" fillId="0" borderId="0" xfId="30" applyFont="1" applyAlignment="1">
      <alignment horizontal="left"/>
    </xf>
    <xf numFmtId="0" fontId="64" fillId="0" borderId="0" xfId="30" applyFont="1"/>
    <xf numFmtId="0" fontId="2" fillId="0" borderId="0" xfId="30"/>
    <xf numFmtId="168" fontId="0" fillId="0" borderId="0" xfId="31" applyNumberFormat="1" applyFont="1" applyAlignment="1">
      <alignment horizontal="center"/>
    </xf>
    <xf numFmtId="0" fontId="55" fillId="0" borderId="0" xfId="30" applyFont="1" applyAlignment="1">
      <alignment horizontal="center"/>
    </xf>
    <xf numFmtId="168" fontId="55" fillId="0" borderId="0" xfId="31" applyNumberFormat="1" applyFont="1" applyAlignment="1">
      <alignment horizontal="center"/>
    </xf>
    <xf numFmtId="164" fontId="17" fillId="0" borderId="0" xfId="23" applyFont="1" applyBorder="1" applyAlignment="1">
      <alignment horizontal="right"/>
    </xf>
    <xf numFmtId="164" fontId="17" fillId="0" borderId="0" xfId="0" applyNumberFormat="1" applyFont="1" applyBorder="1"/>
    <xf numFmtId="164" fontId="17" fillId="0" borderId="0" xfId="23" applyFont="1" applyBorder="1"/>
    <xf numFmtId="164" fontId="17" fillId="0" borderId="0" xfId="1" quotePrefix="1" applyFont="1" applyBorder="1" applyAlignment="1">
      <alignment horizontal="left"/>
    </xf>
    <xf numFmtId="0" fontId="50" fillId="0" borderId="0" xfId="0" applyFont="1" applyBorder="1" applyAlignment="1">
      <alignment horizontal="center"/>
    </xf>
    <xf numFmtId="9" fontId="50" fillId="0" borderId="0" xfId="2" quotePrefix="1" applyFont="1" applyBorder="1"/>
    <xf numFmtId="0" fontId="42" fillId="0" borderId="0" xfId="0" applyFont="1" applyBorder="1" applyAlignment="1">
      <alignment horizontal="center"/>
    </xf>
    <xf numFmtId="0" fontId="17" fillId="0" borderId="0" xfId="0" applyFont="1" applyBorder="1" applyAlignment="1">
      <alignment horizontal="center"/>
    </xf>
    <xf numFmtId="0" fontId="23" fillId="0" borderId="0" xfId="0" applyFont="1" applyAlignment="1">
      <alignment horizontal="center"/>
    </xf>
    <xf numFmtId="0" fontId="28" fillId="2" borderId="1" xfId="0" applyFont="1" applyFill="1" applyBorder="1" applyAlignment="1">
      <alignment horizontal="center" vertical="center" wrapText="1"/>
    </xf>
    <xf numFmtId="0" fontId="21" fillId="0" borderId="0" xfId="0" applyFont="1" applyBorder="1" applyAlignment="1">
      <alignment horizontal="center"/>
    </xf>
    <xf numFmtId="164" fontId="30" fillId="0" borderId="1" xfId="1" applyFont="1" applyFill="1" applyBorder="1" applyAlignment="1" applyProtection="1">
      <alignment horizontal="center" vertical="center" wrapText="1"/>
    </xf>
    <xf numFmtId="164" fontId="5" fillId="0" borderId="0" xfId="1" applyFont="1"/>
    <xf numFmtId="164" fontId="29" fillId="0" borderId="0" xfId="1" applyFont="1"/>
    <xf numFmtId="164" fontId="38" fillId="0" borderId="0" xfId="1" applyFont="1" applyFill="1" applyAlignment="1">
      <alignment horizontal="center" vertical="center"/>
    </xf>
    <xf numFmtId="164" fontId="20" fillId="0" borderId="0" xfId="1" applyFont="1"/>
    <xf numFmtId="164" fontId="18" fillId="0" borderId="0" xfId="1" applyFont="1"/>
    <xf numFmtId="0" fontId="66" fillId="0" borderId="0" xfId="0" applyFont="1" applyBorder="1"/>
    <xf numFmtId="0" fontId="66" fillId="0" borderId="0" xfId="0" applyFont="1" applyBorder="1" applyAlignment="1">
      <alignment horizontal="center"/>
    </xf>
    <xf numFmtId="0" fontId="29" fillId="8" borderId="1" xfId="0" quotePrefix="1" applyFont="1" applyFill="1" applyBorder="1" applyAlignment="1">
      <alignment horizontal="center"/>
    </xf>
    <xf numFmtId="0" fontId="30" fillId="8" borderId="1" xfId="0" applyFont="1" applyFill="1" applyBorder="1" applyAlignment="1" applyProtection="1">
      <alignment vertical="center" wrapText="1"/>
    </xf>
    <xf numFmtId="164" fontId="30" fillId="8" borderId="1" xfId="1" applyFont="1" applyFill="1" applyBorder="1" applyAlignment="1" applyProtection="1">
      <alignment horizontal="center" vertical="center" wrapText="1"/>
    </xf>
    <xf numFmtId="164" fontId="34" fillId="8" borderId="1" xfId="1" quotePrefix="1" applyFont="1" applyFill="1" applyBorder="1" applyAlignment="1">
      <alignment horizontal="center"/>
    </xf>
    <xf numFmtId="164" fontId="34" fillId="8" borderId="1" xfId="0" applyNumberFormat="1" applyFont="1" applyFill="1" applyBorder="1" applyAlignment="1">
      <alignment horizontal="center"/>
    </xf>
    <xf numFmtId="0" fontId="29" fillId="8" borderId="0" xfId="0" applyFont="1" applyFill="1"/>
    <xf numFmtId="164" fontId="29" fillId="8" borderId="0" xfId="1" applyFont="1" applyFill="1"/>
    <xf numFmtId="0" fontId="67" fillId="10" borderId="0" xfId="0" applyFont="1" applyFill="1"/>
    <xf numFmtId="164" fontId="67" fillId="10" borderId="0" xfId="1" applyFont="1" applyFill="1"/>
    <xf numFmtId="0" fontId="27" fillId="9" borderId="0" xfId="0" applyFont="1" applyFill="1" applyAlignment="1">
      <alignment horizontal="center" vertical="center"/>
    </xf>
    <xf numFmtId="164" fontId="27" fillId="9" borderId="0" xfId="1" applyFont="1" applyFill="1" applyAlignment="1">
      <alignment horizontal="center" vertical="center"/>
    </xf>
    <xf numFmtId="0" fontId="37" fillId="10" borderId="1" xfId="0" quotePrefix="1" applyFont="1" applyFill="1" applyBorder="1" applyAlignment="1">
      <alignment horizontal="center" vertical="center"/>
    </xf>
    <xf numFmtId="0" fontId="37" fillId="10" borderId="1" xfId="0" applyFont="1" applyFill="1" applyBorder="1" applyAlignment="1">
      <alignment horizontal="center" vertical="center"/>
    </xf>
    <xf numFmtId="0" fontId="65" fillId="0" borderId="0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68" fillId="9" borderId="1" xfId="0" applyFont="1" applyFill="1" applyBorder="1" applyAlignment="1">
      <alignment horizontal="center" vertical="center" wrapText="1"/>
    </xf>
    <xf numFmtId="0" fontId="68" fillId="9" borderId="10" xfId="0" applyFont="1" applyFill="1" applyBorder="1" applyAlignment="1">
      <alignment horizontal="center" vertical="center" wrapText="1"/>
    </xf>
    <xf numFmtId="0" fontId="68" fillId="9" borderId="21" xfId="0" applyFont="1" applyFill="1" applyBorder="1" applyAlignment="1">
      <alignment horizontal="center" vertical="center" wrapText="1"/>
    </xf>
    <xf numFmtId="0" fontId="68" fillId="9" borderId="13" xfId="0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justify" vertical="top" wrapText="1"/>
    </xf>
    <xf numFmtId="0" fontId="16" fillId="0" borderId="14" xfId="0" applyFont="1" applyBorder="1" applyAlignment="1">
      <alignment horizontal="justify" vertical="top" wrapText="1"/>
    </xf>
    <xf numFmtId="0" fontId="39" fillId="0" borderId="1" xfId="0" applyFont="1" applyFill="1" applyBorder="1" applyAlignment="1">
      <alignment horizontal="center" vertical="center"/>
    </xf>
    <xf numFmtId="0" fontId="51" fillId="0" borderId="0" xfId="0" applyFont="1" applyBorder="1" applyAlignment="1">
      <alignment horizontal="center"/>
    </xf>
    <xf numFmtId="0" fontId="42" fillId="0" borderId="0" xfId="0" applyFont="1" applyBorder="1" applyAlignment="1">
      <alignment horizontal="center"/>
    </xf>
    <xf numFmtId="0" fontId="17" fillId="0" borderId="0" xfId="0" applyFont="1" applyBorder="1" applyAlignment="1">
      <alignment horizontal="left"/>
    </xf>
    <xf numFmtId="0" fontId="17" fillId="0" borderId="0" xfId="0" applyFont="1" applyBorder="1" applyAlignment="1">
      <alignment horizontal="center"/>
    </xf>
    <xf numFmtId="0" fontId="21" fillId="0" borderId="0" xfId="0" applyFont="1" applyBorder="1" applyAlignment="1">
      <alignment horizontal="center"/>
    </xf>
    <xf numFmtId="0" fontId="28" fillId="2" borderId="1" xfId="0" applyFont="1" applyFill="1" applyBorder="1" applyAlignment="1">
      <alignment horizontal="center" vertical="center" wrapText="1"/>
    </xf>
    <xf numFmtId="0" fontId="28" fillId="2" borderId="8" xfId="0" applyFont="1" applyFill="1" applyBorder="1" applyAlignment="1">
      <alignment horizontal="center" vertical="center"/>
    </xf>
    <xf numFmtId="0" fontId="28" fillId="2" borderId="9" xfId="0" applyFont="1" applyFill="1" applyBorder="1" applyAlignment="1">
      <alignment horizontal="center" vertical="center"/>
    </xf>
    <xf numFmtId="0" fontId="28" fillId="2" borderId="10" xfId="0" applyFont="1" applyFill="1" applyBorder="1" applyAlignment="1">
      <alignment horizontal="center" vertical="center"/>
    </xf>
    <xf numFmtId="0" fontId="28" fillId="2" borderId="11" xfId="0" applyFont="1" applyFill="1" applyBorder="1" applyAlignment="1">
      <alignment horizontal="center" vertical="center"/>
    </xf>
    <xf numFmtId="0" fontId="28" fillId="2" borderId="12" xfId="0" applyFont="1" applyFill="1" applyBorder="1" applyAlignment="1">
      <alignment horizontal="center" vertical="center"/>
    </xf>
    <xf numFmtId="0" fontId="28" fillId="2" borderId="13" xfId="0" applyFont="1" applyFill="1" applyBorder="1" applyAlignment="1">
      <alignment horizontal="center" vertical="center"/>
    </xf>
    <xf numFmtId="0" fontId="20" fillId="0" borderId="2" xfId="0" applyFont="1" applyBorder="1" applyAlignment="1">
      <alignment horizontal="left"/>
    </xf>
    <xf numFmtId="0" fontId="20" fillId="0" borderId="4" xfId="0" applyFont="1" applyBorder="1" applyAlignment="1">
      <alignment horizontal="left"/>
    </xf>
    <xf numFmtId="0" fontId="23" fillId="0" borderId="0" xfId="0" applyFont="1" applyAlignment="1">
      <alignment horizontal="left"/>
    </xf>
    <xf numFmtId="0" fontId="28" fillId="2" borderId="19" xfId="0" applyFont="1" applyFill="1" applyBorder="1" applyAlignment="1">
      <alignment horizontal="center" vertical="center" wrapText="1"/>
    </xf>
    <xf numFmtId="0" fontId="28" fillId="2" borderId="7" xfId="0" applyFont="1" applyFill="1" applyBorder="1" applyAlignment="1">
      <alignment horizontal="center" vertical="center" wrapText="1"/>
    </xf>
    <xf numFmtId="0" fontId="28" fillId="2" borderId="20" xfId="0" applyFont="1" applyFill="1" applyBorder="1" applyAlignment="1">
      <alignment horizontal="center" vertical="center" wrapText="1"/>
    </xf>
    <xf numFmtId="0" fontId="35" fillId="0" borderId="1" xfId="0" applyFont="1" applyFill="1" applyBorder="1" applyAlignment="1">
      <alignment horizontal="center"/>
    </xf>
    <xf numFmtId="0" fontId="21" fillId="0" borderId="2" xfId="0" applyFont="1" applyBorder="1" applyAlignment="1">
      <alignment horizontal="center"/>
    </xf>
    <xf numFmtId="0" fontId="21" fillId="0" borderId="3" xfId="0" applyFont="1" applyBorder="1" applyAlignment="1">
      <alignment horizontal="center"/>
    </xf>
    <xf numFmtId="0" fontId="21" fillId="0" borderId="4" xfId="0" applyFont="1" applyBorder="1" applyAlignment="1">
      <alignment horizontal="center"/>
    </xf>
    <xf numFmtId="0" fontId="20" fillId="0" borderId="1" xfId="0" applyFont="1" applyBorder="1" applyAlignment="1">
      <alignment horizontal="left"/>
    </xf>
    <xf numFmtId="0" fontId="7" fillId="0" borderId="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63" fillId="0" borderId="0" xfId="30" applyFont="1" applyAlignment="1">
      <alignment horizontal="left"/>
    </xf>
    <xf numFmtId="0" fontId="56" fillId="4" borderId="2" xfId="30" applyFont="1" applyFill="1" applyBorder="1" applyAlignment="1">
      <alignment horizontal="center" vertical="center" wrapText="1"/>
    </xf>
    <xf numFmtId="0" fontId="56" fillId="4" borderId="3" xfId="30" applyFont="1" applyFill="1" applyBorder="1" applyAlignment="1">
      <alignment horizontal="center" vertical="center" wrapText="1"/>
    </xf>
    <xf numFmtId="0" fontId="56" fillId="4" borderId="4" xfId="30" applyFont="1" applyFill="1" applyBorder="1" applyAlignment="1">
      <alignment horizontal="center" vertical="center" wrapText="1"/>
    </xf>
    <xf numFmtId="0" fontId="57" fillId="0" borderId="0" xfId="30" applyFont="1" applyAlignment="1">
      <alignment horizontal="center"/>
    </xf>
    <xf numFmtId="0" fontId="60" fillId="0" borderId="0" xfId="30" applyFont="1" applyAlignment="1">
      <alignment horizontal="center"/>
    </xf>
    <xf numFmtId="0" fontId="57" fillId="0" borderId="5" xfId="30" applyFont="1" applyBorder="1" applyAlignment="1">
      <alignment horizontal="center" vertical="center"/>
    </xf>
    <xf numFmtId="0" fontId="53" fillId="0" borderId="0" xfId="30" applyFont="1" applyAlignment="1">
      <alignment horizontal="center" vertical="center"/>
    </xf>
    <xf numFmtId="0" fontId="56" fillId="4" borderId="1" xfId="30" applyFont="1" applyFill="1" applyBorder="1" applyAlignment="1">
      <alignment horizontal="center" vertical="center" wrapText="1"/>
    </xf>
    <xf numFmtId="168" fontId="56" fillId="4" borderId="1" xfId="31" applyNumberFormat="1" applyFont="1" applyFill="1" applyBorder="1" applyAlignment="1">
      <alignment horizontal="center" vertical="center" wrapText="1"/>
    </xf>
    <xf numFmtId="168" fontId="56" fillId="4" borderId="19" xfId="31" applyNumberFormat="1" applyFont="1" applyFill="1" applyBorder="1" applyAlignment="1">
      <alignment horizontal="center" vertical="center" wrapText="1"/>
    </xf>
    <xf numFmtId="168" fontId="56" fillId="4" borderId="20" xfId="31" applyNumberFormat="1" applyFont="1" applyFill="1" applyBorder="1" applyAlignment="1">
      <alignment horizontal="center" vertical="center" wrapText="1"/>
    </xf>
    <xf numFmtId="0" fontId="56" fillId="4" borderId="19" xfId="30" applyFont="1" applyFill="1" applyBorder="1" applyAlignment="1">
      <alignment horizontal="center" vertical="center" wrapText="1"/>
    </xf>
    <xf numFmtId="0" fontId="56" fillId="4" borderId="20" xfId="30" applyFont="1" applyFill="1" applyBorder="1" applyAlignment="1">
      <alignment horizontal="center" vertical="center" wrapText="1"/>
    </xf>
    <xf numFmtId="0" fontId="16" fillId="0" borderId="0" xfId="0" applyFont="1" applyAlignment="1">
      <alignment horizontal="left"/>
    </xf>
  </cellXfs>
  <cellStyles count="33">
    <cellStyle name="Comma [0]" xfId="1" builtinId="6"/>
    <cellStyle name="Comma [0] 2 10 4 2" xfId="23"/>
    <cellStyle name="Comma 2" xfId="3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4" builtinId="8" hidden="1"/>
    <cellStyle name="Hyperlink" xfId="26" builtinId="8" hidden="1"/>
    <cellStyle name="Hyperlink" xfId="28" builtinId="8" hidden="1"/>
    <cellStyle name="Normal" xfId="0" builtinId="0"/>
    <cellStyle name="Normal 2" xfId="30"/>
    <cellStyle name="Percent" xfId="2" builtinId="5"/>
    <cellStyle name="Percent 2" xfId="3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connections" Target="connection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Kab_Buton_Utara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J110"/>
  <sheetViews>
    <sheetView tabSelected="1" view="pageBreakPreview" zoomScale="60" workbookViewId="0">
      <pane xSplit="2" ySplit="12" topLeftCell="C13" activePane="bottomRight" state="frozen"/>
      <selection pane="topRight" activeCell="C1" sqref="C1"/>
      <selection pane="bottomLeft" activeCell="A11" sqref="A11"/>
      <selection pane="bottomRight" activeCell="F9" sqref="F9:F11"/>
    </sheetView>
  </sheetViews>
  <sheetFormatPr defaultColWidth="8.85546875" defaultRowHeight="15" x14ac:dyDescent="0.25"/>
  <cols>
    <col min="1" max="1" width="4.28515625" customWidth="1"/>
    <col min="2" max="2" width="7.28515625" customWidth="1"/>
    <col min="3" max="3" width="35.42578125" customWidth="1"/>
    <col min="4" max="4" width="28.42578125" customWidth="1"/>
    <col min="5" max="5" width="28.5703125" customWidth="1"/>
    <col min="6" max="6" width="28.140625" customWidth="1"/>
    <col min="7" max="7" width="25.7109375" customWidth="1"/>
    <col min="8" max="8" width="10.42578125" customWidth="1"/>
    <col min="10" max="10" width="14" style="56" bestFit="1" customWidth="1"/>
  </cols>
  <sheetData>
    <row r="1" spans="2:10" s="1" customFormat="1" ht="18.75" x14ac:dyDescent="0.3">
      <c r="B1" s="247"/>
      <c r="C1" s="247"/>
      <c r="D1" s="247"/>
      <c r="E1" s="247"/>
      <c r="F1" s="247"/>
      <c r="G1" s="247"/>
      <c r="J1" s="226"/>
    </row>
    <row r="2" spans="2:10" s="1" customFormat="1" ht="21" customHeight="1" x14ac:dyDescent="0.25">
      <c r="B2" s="50"/>
      <c r="C2" s="53" t="s">
        <v>140</v>
      </c>
      <c r="D2" s="53" t="s">
        <v>146</v>
      </c>
      <c r="E2" s="52"/>
      <c r="F2" s="52"/>
      <c r="G2" s="52"/>
      <c r="J2" s="226"/>
    </row>
    <row r="3" spans="2:10" s="1" customFormat="1" ht="21" customHeight="1" x14ac:dyDescent="0.25">
      <c r="B3" s="50"/>
      <c r="D3" s="53" t="s">
        <v>143</v>
      </c>
      <c r="E3" s="304" t="s">
        <v>316</v>
      </c>
      <c r="F3" s="93"/>
      <c r="G3" s="52"/>
      <c r="J3" s="226"/>
    </row>
    <row r="4" spans="2:10" s="1" customFormat="1" ht="21" customHeight="1" x14ac:dyDescent="0.25">
      <c r="B4" s="50"/>
      <c r="D4" s="53" t="s">
        <v>144</v>
      </c>
      <c r="E4" s="304" t="s">
        <v>317</v>
      </c>
      <c r="F4" s="52"/>
      <c r="G4" s="52"/>
      <c r="J4" s="226"/>
    </row>
    <row r="5" spans="2:10" ht="21" customHeight="1" x14ac:dyDescent="0.25">
      <c r="B5" s="222"/>
      <c r="D5" s="53" t="s">
        <v>145</v>
      </c>
      <c r="E5" s="253" t="s">
        <v>314</v>
      </c>
      <c r="F5" s="253"/>
      <c r="G5" s="253"/>
    </row>
    <row r="6" spans="2:10" ht="62.45" customHeight="1" thickBot="1" x14ac:dyDescent="0.3">
      <c r="B6" s="92"/>
      <c r="C6" s="92"/>
      <c r="D6" s="92"/>
      <c r="E6" s="254"/>
      <c r="F6" s="254"/>
      <c r="G6" s="254"/>
    </row>
    <row r="7" spans="2:10" ht="14.25" customHeight="1" thickTop="1" x14ac:dyDescent="0.25">
      <c r="B7" s="248"/>
      <c r="C7" s="248"/>
      <c r="D7" s="248"/>
      <c r="E7" s="248"/>
      <c r="F7" s="248"/>
      <c r="G7" s="248"/>
    </row>
    <row r="8" spans="2:10" ht="18" x14ac:dyDescent="0.25">
      <c r="B8" s="222"/>
      <c r="C8" s="222"/>
      <c r="D8" s="222"/>
      <c r="E8" s="222"/>
      <c r="F8" s="222"/>
      <c r="G8" s="222"/>
    </row>
    <row r="9" spans="2:10" s="240" customFormat="1" ht="15" customHeight="1" x14ac:dyDescent="0.25">
      <c r="B9" s="249" t="s">
        <v>1</v>
      </c>
      <c r="C9" s="249" t="s">
        <v>40</v>
      </c>
      <c r="D9" s="249" t="s">
        <v>2</v>
      </c>
      <c r="E9" s="249" t="s">
        <v>312</v>
      </c>
      <c r="F9" s="250" t="s">
        <v>313</v>
      </c>
      <c r="G9" s="249" t="s">
        <v>166</v>
      </c>
      <c r="J9" s="241"/>
    </row>
    <row r="10" spans="2:10" s="240" customFormat="1" ht="15" customHeight="1" x14ac:dyDescent="0.25">
      <c r="B10" s="249"/>
      <c r="C10" s="249"/>
      <c r="D10" s="249"/>
      <c r="E10" s="249"/>
      <c r="F10" s="251"/>
      <c r="G10" s="249"/>
      <c r="J10" s="241"/>
    </row>
    <row r="11" spans="2:10" s="240" customFormat="1" ht="72" customHeight="1" x14ac:dyDescent="0.25">
      <c r="B11" s="249"/>
      <c r="C11" s="249"/>
      <c r="D11" s="249"/>
      <c r="E11" s="249"/>
      <c r="F11" s="252"/>
      <c r="G11" s="249"/>
      <c r="J11" s="241"/>
    </row>
    <row r="12" spans="2:10" s="242" customFormat="1" ht="30" customHeight="1" x14ac:dyDescent="0.25">
      <c r="B12" s="244" t="s">
        <v>16</v>
      </c>
      <c r="C12" s="244" t="s">
        <v>17</v>
      </c>
      <c r="D12" s="244" t="s">
        <v>18</v>
      </c>
      <c r="E12" s="244" t="s">
        <v>20</v>
      </c>
      <c r="F12" s="244" t="s">
        <v>37</v>
      </c>
      <c r="G12" s="245" t="s">
        <v>169</v>
      </c>
      <c r="J12" s="243"/>
    </row>
    <row r="13" spans="2:10" s="67" customFormat="1" ht="21" customHeight="1" x14ac:dyDescent="0.3">
      <c r="B13" s="61">
        <v>1</v>
      </c>
      <c r="C13" s="62" t="str">
        <f>DASAR!B2</f>
        <v>KULISUSU</v>
      </c>
      <c r="D13" s="62" t="str">
        <f>DASAR!D2</f>
        <v>TRIWACUWACU</v>
      </c>
      <c r="E13" s="225">
        <f>P!I13</f>
        <v>4001000</v>
      </c>
      <c r="F13" s="94">
        <f>'R'!I13</f>
        <v>4516000</v>
      </c>
      <c r="G13" s="95">
        <f>E13+F13</f>
        <v>8517000</v>
      </c>
      <c r="J13" s="227"/>
    </row>
    <row r="14" spans="2:10" s="238" customFormat="1" ht="21" customHeight="1" x14ac:dyDescent="0.3">
      <c r="B14" s="233">
        <v>2</v>
      </c>
      <c r="C14" s="234" t="str">
        <f>DASAR!B3</f>
        <v>KULISUSU</v>
      </c>
      <c r="D14" s="234" t="str">
        <f>DASAR!D3</f>
        <v>WACULAEA</v>
      </c>
      <c r="E14" s="235">
        <f>P!I14</f>
        <v>2230000</v>
      </c>
      <c r="F14" s="236">
        <f>'R'!I14</f>
        <v>2517000</v>
      </c>
      <c r="G14" s="237">
        <f t="shared" ref="G14:G77" si="0">E14+F14</f>
        <v>4747000</v>
      </c>
      <c r="J14" s="239"/>
    </row>
    <row r="15" spans="2:10" s="67" customFormat="1" ht="21" customHeight="1" x14ac:dyDescent="0.3">
      <c r="B15" s="61">
        <v>3</v>
      </c>
      <c r="C15" s="62" t="str">
        <f>DASAR!B4</f>
        <v>KULISUSU</v>
      </c>
      <c r="D15" s="62" t="str">
        <f>DASAR!D4</f>
        <v>E'ELAHAJI</v>
      </c>
      <c r="E15" s="225">
        <f>P!I15</f>
        <v>4961000</v>
      </c>
      <c r="F15" s="94">
        <f>'R'!I15</f>
        <v>5601000</v>
      </c>
      <c r="G15" s="95">
        <f t="shared" si="0"/>
        <v>10562000</v>
      </c>
      <c r="J15" s="227"/>
    </row>
    <row r="16" spans="2:10" s="238" customFormat="1" ht="21" customHeight="1" x14ac:dyDescent="0.3">
      <c r="B16" s="233">
        <v>4</v>
      </c>
      <c r="C16" s="234" t="str">
        <f>DASAR!B5</f>
        <v>KULISUSU</v>
      </c>
      <c r="D16" s="234" t="str">
        <f>DASAR!D5</f>
        <v>TOMOAHI</v>
      </c>
      <c r="E16" s="235">
        <f>P!I16</f>
        <v>4315000</v>
      </c>
      <c r="F16" s="236">
        <f>'R'!I16</f>
        <v>4871000</v>
      </c>
      <c r="G16" s="237">
        <f t="shared" si="0"/>
        <v>9186000</v>
      </c>
      <c r="J16" s="239"/>
    </row>
    <row r="17" spans="2:10" s="67" customFormat="1" ht="21" customHeight="1" x14ac:dyDescent="0.3">
      <c r="B17" s="61">
        <v>5</v>
      </c>
      <c r="C17" s="62" t="str">
        <f>DASAR!B6</f>
        <v>KULISUSU</v>
      </c>
      <c r="D17" s="62" t="str">
        <f>DASAR!D6</f>
        <v>KALIBU</v>
      </c>
      <c r="E17" s="225">
        <f>P!I17</f>
        <v>3136000</v>
      </c>
      <c r="F17" s="94">
        <f>'R'!I17</f>
        <v>3540000</v>
      </c>
      <c r="G17" s="95">
        <f t="shared" si="0"/>
        <v>6676000</v>
      </c>
      <c r="J17" s="227"/>
    </row>
    <row r="18" spans="2:10" s="238" customFormat="1" ht="21" customHeight="1" x14ac:dyDescent="0.3">
      <c r="B18" s="233">
        <v>6</v>
      </c>
      <c r="C18" s="234" t="str">
        <f>DASAR!B7</f>
        <v>KULISUSU</v>
      </c>
      <c r="D18" s="234" t="str">
        <f>DASAR!D7</f>
        <v>JAMPAKA</v>
      </c>
      <c r="E18" s="235">
        <f>P!I18</f>
        <v>4085000</v>
      </c>
      <c r="F18" s="236">
        <f>'R'!I18</f>
        <v>4612000</v>
      </c>
      <c r="G18" s="237">
        <f t="shared" si="0"/>
        <v>8697000</v>
      </c>
      <c r="J18" s="239"/>
    </row>
    <row r="19" spans="2:10" s="67" customFormat="1" ht="21" customHeight="1" x14ac:dyDescent="0.3">
      <c r="B19" s="61">
        <v>7</v>
      </c>
      <c r="C19" s="62" t="str">
        <f>DASAR!B8</f>
        <v>KULISUSU</v>
      </c>
      <c r="D19" s="62" t="str">
        <f>DASAR!D8</f>
        <v>LOJI</v>
      </c>
      <c r="E19" s="225">
        <f>P!I19</f>
        <v>3155000</v>
      </c>
      <c r="F19" s="94">
        <f>'R'!I19</f>
        <v>3561000</v>
      </c>
      <c r="G19" s="95">
        <f t="shared" si="0"/>
        <v>6716000</v>
      </c>
      <c r="J19" s="227"/>
    </row>
    <row r="20" spans="2:10" s="238" customFormat="1" ht="21" customHeight="1" x14ac:dyDescent="0.3">
      <c r="B20" s="233">
        <v>8</v>
      </c>
      <c r="C20" s="234" t="str">
        <f>DASAR!B9</f>
        <v>KULISUSU</v>
      </c>
      <c r="D20" s="234" t="str">
        <f>DASAR!D9</f>
        <v>LINSOWU</v>
      </c>
      <c r="E20" s="235">
        <f>P!I20</f>
        <v>3335000</v>
      </c>
      <c r="F20" s="236">
        <f>'R'!I20</f>
        <v>3765000</v>
      </c>
      <c r="G20" s="237">
        <f t="shared" si="0"/>
        <v>7100000</v>
      </c>
      <c r="J20" s="239"/>
    </row>
    <row r="21" spans="2:10" s="67" customFormat="1" ht="21" customHeight="1" x14ac:dyDescent="0.3">
      <c r="B21" s="61">
        <v>9</v>
      </c>
      <c r="C21" s="62" t="str">
        <f>DASAR!B10</f>
        <v>KULISUSU</v>
      </c>
      <c r="D21" s="62" t="str">
        <f>DASAR!D10</f>
        <v>ROMBO</v>
      </c>
      <c r="E21" s="225">
        <f>P!I21</f>
        <v>1707000</v>
      </c>
      <c r="F21" s="94">
        <f>'R'!I21</f>
        <v>1927000</v>
      </c>
      <c r="G21" s="95">
        <f t="shared" si="0"/>
        <v>3634000</v>
      </c>
      <c r="J21" s="227"/>
    </row>
    <row r="22" spans="2:10" s="238" customFormat="1" ht="21" customHeight="1" x14ac:dyDescent="0.3">
      <c r="B22" s="233">
        <v>10</v>
      </c>
      <c r="C22" s="234" t="str">
        <f>DASAR!B11</f>
        <v>KULISUSU</v>
      </c>
      <c r="D22" s="234" t="str">
        <f>DASAR!D11</f>
        <v>WASALABOSE</v>
      </c>
      <c r="E22" s="235">
        <f>P!I22</f>
        <v>3252000</v>
      </c>
      <c r="F22" s="236">
        <f>'R'!I22</f>
        <v>3671000</v>
      </c>
      <c r="G22" s="237">
        <f t="shared" si="0"/>
        <v>6923000</v>
      </c>
      <c r="J22" s="239"/>
    </row>
    <row r="23" spans="2:10" s="67" customFormat="1" ht="21" customHeight="1" x14ac:dyDescent="0.3">
      <c r="B23" s="61">
        <v>11</v>
      </c>
      <c r="C23" s="62" t="str">
        <f>DASAR!B12</f>
        <v>KULISUSU</v>
      </c>
      <c r="D23" s="62" t="str">
        <f>DASAR!D12</f>
        <v>MALALANDA</v>
      </c>
      <c r="E23" s="225">
        <f>P!I23</f>
        <v>2048000</v>
      </c>
      <c r="F23" s="94">
        <f>'R'!I23</f>
        <v>2312000</v>
      </c>
      <c r="G23" s="95">
        <f t="shared" si="0"/>
        <v>4360000</v>
      </c>
      <c r="J23" s="227"/>
    </row>
    <row r="24" spans="2:10" s="238" customFormat="1" ht="21" customHeight="1" x14ac:dyDescent="0.3">
      <c r="B24" s="233">
        <v>12</v>
      </c>
      <c r="C24" s="234" t="str">
        <f>DASAR!B13</f>
        <v>KULISUSU</v>
      </c>
      <c r="D24" s="234" t="str">
        <f>DASAR!D13</f>
        <v>LEMO'EA</v>
      </c>
      <c r="E24" s="235">
        <f>P!I24</f>
        <v>2695000</v>
      </c>
      <c r="F24" s="236">
        <f>'R'!I24</f>
        <v>3042000</v>
      </c>
      <c r="G24" s="237">
        <f t="shared" si="0"/>
        <v>5737000</v>
      </c>
      <c r="J24" s="239"/>
    </row>
    <row r="25" spans="2:10" s="67" customFormat="1" ht="21" customHeight="1" x14ac:dyDescent="0.3">
      <c r="B25" s="61">
        <v>13</v>
      </c>
      <c r="C25" s="62" t="str">
        <f>DASAR!B14</f>
        <v>KULISUSU</v>
      </c>
      <c r="D25" s="62" t="str">
        <f>DASAR!D14</f>
        <v>LANTAGI</v>
      </c>
      <c r="E25" s="225">
        <f>P!I25</f>
        <v>2002000</v>
      </c>
      <c r="F25" s="94">
        <f>'R'!I25</f>
        <v>2260000</v>
      </c>
      <c r="G25" s="95">
        <f t="shared" si="0"/>
        <v>4262000</v>
      </c>
      <c r="J25" s="227"/>
    </row>
    <row r="26" spans="2:10" s="238" customFormat="1" ht="21" customHeight="1" x14ac:dyDescent="0.3">
      <c r="B26" s="233">
        <v>14</v>
      </c>
      <c r="C26" s="234" t="str">
        <f>DASAR!B15</f>
        <v>KULISUSU</v>
      </c>
      <c r="D26" s="234" t="str">
        <f>DASAR!D15</f>
        <v>LAANGKE</v>
      </c>
      <c r="E26" s="235">
        <f>P!I26</f>
        <v>2304000</v>
      </c>
      <c r="F26" s="236">
        <f>'R'!I26</f>
        <v>2601000</v>
      </c>
      <c r="G26" s="237">
        <f t="shared" si="0"/>
        <v>4905000</v>
      </c>
      <c r="J26" s="239"/>
    </row>
    <row r="27" spans="2:10" s="67" customFormat="1" ht="21" customHeight="1" x14ac:dyDescent="0.3">
      <c r="B27" s="61">
        <v>15</v>
      </c>
      <c r="C27" s="62" t="str">
        <f>DASAR!B16</f>
        <v>KULISUSU</v>
      </c>
      <c r="D27" s="62" t="str">
        <f>DASAR!D16</f>
        <v>KADACUA</v>
      </c>
      <c r="E27" s="225">
        <f>P!I27</f>
        <v>2859000</v>
      </c>
      <c r="F27" s="94">
        <f>'R'!I27</f>
        <v>3227000</v>
      </c>
      <c r="G27" s="95">
        <f t="shared" si="0"/>
        <v>6086000</v>
      </c>
      <c r="J27" s="227"/>
    </row>
    <row r="28" spans="2:10" s="238" customFormat="1" ht="21" customHeight="1" x14ac:dyDescent="0.3">
      <c r="B28" s="233">
        <v>16</v>
      </c>
      <c r="C28" s="234" t="str">
        <f>DASAR!B17</f>
        <v>KULISUSU</v>
      </c>
      <c r="D28" s="234" t="str">
        <f>DASAR!D17</f>
        <v>BANU-BANUA JAYA</v>
      </c>
      <c r="E28" s="235">
        <f>P!I28</f>
        <v>2122000</v>
      </c>
      <c r="F28" s="236">
        <f>'R'!I28</f>
        <v>2395000</v>
      </c>
      <c r="G28" s="237">
        <f t="shared" si="0"/>
        <v>4517000</v>
      </c>
      <c r="J28" s="239"/>
    </row>
    <row r="29" spans="2:10" s="67" customFormat="1" ht="21" customHeight="1" x14ac:dyDescent="0.3">
      <c r="B29" s="61">
        <v>17</v>
      </c>
      <c r="C29" s="62" t="str">
        <f>DASAR!B18</f>
        <v>KAMBOWA</v>
      </c>
      <c r="D29" s="62" t="str">
        <f>DASAR!D18</f>
        <v>BUBU</v>
      </c>
      <c r="E29" s="225">
        <f>P!I29</f>
        <v>3564000</v>
      </c>
      <c r="F29" s="94">
        <f>'R'!I29</f>
        <v>4023000</v>
      </c>
      <c r="G29" s="95">
        <f t="shared" si="0"/>
        <v>7587000</v>
      </c>
      <c r="J29" s="227"/>
    </row>
    <row r="30" spans="2:10" s="238" customFormat="1" ht="21" customHeight="1" x14ac:dyDescent="0.3">
      <c r="B30" s="233">
        <v>18</v>
      </c>
      <c r="C30" s="234" t="str">
        <f>DASAR!B19</f>
        <v>KAMBOWA</v>
      </c>
      <c r="D30" s="234" t="str">
        <f>DASAR!D19</f>
        <v>LAHUMOKO</v>
      </c>
      <c r="E30" s="235">
        <f>P!I30</f>
        <v>2706000</v>
      </c>
      <c r="F30" s="236">
        <f>'R'!I30</f>
        <v>3055000</v>
      </c>
      <c r="G30" s="237">
        <f t="shared" si="0"/>
        <v>5761000</v>
      </c>
      <c r="J30" s="239"/>
    </row>
    <row r="31" spans="2:10" s="67" customFormat="1" ht="21" customHeight="1" x14ac:dyDescent="0.3">
      <c r="B31" s="61">
        <v>19</v>
      </c>
      <c r="C31" s="62" t="str">
        <f>DASAR!B20</f>
        <v>KAMBOWA</v>
      </c>
      <c r="D31" s="62" t="str">
        <f>DASAR!D20</f>
        <v>MORINDINO</v>
      </c>
      <c r="E31" s="225">
        <f>P!I31</f>
        <v>3459000</v>
      </c>
      <c r="F31" s="94">
        <f>'R'!I31</f>
        <v>3905000</v>
      </c>
      <c r="G31" s="95">
        <f t="shared" si="0"/>
        <v>7364000</v>
      </c>
      <c r="J31" s="227"/>
    </row>
    <row r="32" spans="2:10" s="238" customFormat="1" ht="21" customHeight="1" x14ac:dyDescent="0.3">
      <c r="B32" s="233">
        <v>20</v>
      </c>
      <c r="C32" s="234" t="str">
        <f>DASAR!B21</f>
        <v>KAMBOWA</v>
      </c>
      <c r="D32" s="234" t="str">
        <f>DASAR!D21</f>
        <v>PONGKOWULU</v>
      </c>
      <c r="E32" s="235">
        <f>P!I32</f>
        <v>3407000</v>
      </c>
      <c r="F32" s="236">
        <f>'R'!I32</f>
        <v>3846000</v>
      </c>
      <c r="G32" s="237">
        <f t="shared" si="0"/>
        <v>7253000</v>
      </c>
      <c r="J32" s="239"/>
    </row>
    <row r="33" spans="2:10" s="67" customFormat="1" ht="21" customHeight="1" x14ac:dyDescent="0.3">
      <c r="B33" s="61">
        <v>21</v>
      </c>
      <c r="C33" s="62" t="str">
        <f>DASAR!B22</f>
        <v>KAMBOWA</v>
      </c>
      <c r="D33" s="62" t="str">
        <f>DASAR!D22</f>
        <v>LAGUNDI</v>
      </c>
      <c r="E33" s="225">
        <f>P!I33</f>
        <v>3838000</v>
      </c>
      <c r="F33" s="94">
        <f>'R'!I33</f>
        <v>4332000</v>
      </c>
      <c r="G33" s="95">
        <f t="shared" si="0"/>
        <v>8170000</v>
      </c>
      <c r="J33" s="227"/>
    </row>
    <row r="34" spans="2:10" s="238" customFormat="1" ht="21" customHeight="1" x14ac:dyDescent="0.3">
      <c r="B34" s="233">
        <v>22</v>
      </c>
      <c r="C34" s="234" t="str">
        <f>DASAR!B23</f>
        <v>KAMBOWA</v>
      </c>
      <c r="D34" s="234" t="str">
        <f>DASAR!D23</f>
        <v>KONDE</v>
      </c>
      <c r="E34" s="235">
        <f>P!I34</f>
        <v>2281000</v>
      </c>
      <c r="F34" s="236">
        <f>'R'!I34</f>
        <v>2575000</v>
      </c>
      <c r="G34" s="237">
        <f t="shared" si="0"/>
        <v>4856000</v>
      </c>
      <c r="J34" s="239"/>
    </row>
    <row r="35" spans="2:10" s="67" customFormat="1" ht="21" customHeight="1" x14ac:dyDescent="0.3">
      <c r="B35" s="61">
        <v>23</v>
      </c>
      <c r="C35" s="62" t="str">
        <f>DASAR!B24</f>
        <v>KAMBOWA</v>
      </c>
      <c r="D35" s="62" t="str">
        <f>DASAR!D24</f>
        <v>MATA</v>
      </c>
      <c r="E35" s="225">
        <f>P!I35</f>
        <v>2901000</v>
      </c>
      <c r="F35" s="94">
        <f>'R'!I35</f>
        <v>3275000</v>
      </c>
      <c r="G35" s="95">
        <f t="shared" si="0"/>
        <v>6176000</v>
      </c>
      <c r="J35" s="227"/>
    </row>
    <row r="36" spans="2:10" s="238" customFormat="1" ht="21" customHeight="1" x14ac:dyDescent="0.3">
      <c r="B36" s="233">
        <v>24</v>
      </c>
      <c r="C36" s="234" t="str">
        <f>DASAR!B25</f>
        <v>KAMBOWA</v>
      </c>
      <c r="D36" s="234" t="str">
        <f>DASAR!D25</f>
        <v>BUBU BARAT</v>
      </c>
      <c r="E36" s="235">
        <f>P!I36</f>
        <v>3169000</v>
      </c>
      <c r="F36" s="236">
        <f>'R'!I36</f>
        <v>3577000</v>
      </c>
      <c r="G36" s="237">
        <f t="shared" si="0"/>
        <v>6746000</v>
      </c>
      <c r="J36" s="239"/>
    </row>
    <row r="37" spans="2:10" s="67" customFormat="1" ht="21" customHeight="1" x14ac:dyDescent="0.3">
      <c r="B37" s="61">
        <v>25</v>
      </c>
      <c r="C37" s="62" t="str">
        <f>DASAR!B26</f>
        <v>KAMBOWA</v>
      </c>
      <c r="D37" s="62" t="str">
        <f>DASAR!D26</f>
        <v>BENTE</v>
      </c>
      <c r="E37" s="225">
        <f>P!I37</f>
        <v>2177000</v>
      </c>
      <c r="F37" s="94">
        <f>'R'!I37</f>
        <v>2457000</v>
      </c>
      <c r="G37" s="95">
        <f t="shared" si="0"/>
        <v>4634000</v>
      </c>
      <c r="J37" s="227"/>
    </row>
    <row r="38" spans="2:10" s="238" customFormat="1" ht="21" customHeight="1" x14ac:dyDescent="0.3">
      <c r="B38" s="233">
        <v>26</v>
      </c>
      <c r="C38" s="234" t="str">
        <f>DASAR!B27</f>
        <v>KAMBOWA</v>
      </c>
      <c r="D38" s="234" t="str">
        <f>DASAR!D27</f>
        <v>BALUARA</v>
      </c>
      <c r="E38" s="235">
        <f>P!I38</f>
        <v>2568000</v>
      </c>
      <c r="F38" s="236">
        <f>'R'!I38</f>
        <v>2899000</v>
      </c>
      <c r="G38" s="237">
        <f t="shared" si="0"/>
        <v>5467000</v>
      </c>
      <c r="J38" s="239"/>
    </row>
    <row r="39" spans="2:10" s="67" customFormat="1" ht="21" customHeight="1" x14ac:dyDescent="0.3">
      <c r="B39" s="61">
        <v>27</v>
      </c>
      <c r="C39" s="62" t="str">
        <f>DASAR!B28</f>
        <v>BONEGUNU</v>
      </c>
      <c r="D39" s="62" t="str">
        <f>DASAR!D28</f>
        <v>GUNUNG SARI</v>
      </c>
      <c r="E39" s="225">
        <f>P!I39</f>
        <v>3184000</v>
      </c>
      <c r="F39" s="94">
        <f>'R'!I39</f>
        <v>3594000</v>
      </c>
      <c r="G39" s="95">
        <f t="shared" si="0"/>
        <v>6778000</v>
      </c>
      <c r="J39" s="227"/>
    </row>
    <row r="40" spans="2:10" s="238" customFormat="1" ht="21" customHeight="1" x14ac:dyDescent="0.3">
      <c r="B40" s="233">
        <v>28</v>
      </c>
      <c r="C40" s="234" t="str">
        <f>DASAR!B29</f>
        <v>BONEGUNU</v>
      </c>
      <c r="D40" s="234" t="str">
        <f>DASAR!D29</f>
        <v>RONTA</v>
      </c>
      <c r="E40" s="235">
        <f>P!I40</f>
        <v>2265000</v>
      </c>
      <c r="F40" s="236">
        <f>'R'!I40</f>
        <v>2557000</v>
      </c>
      <c r="G40" s="237">
        <f t="shared" si="0"/>
        <v>4822000</v>
      </c>
      <c r="J40" s="239"/>
    </row>
    <row r="41" spans="2:10" s="67" customFormat="1" ht="21" customHeight="1" x14ac:dyDescent="0.3">
      <c r="B41" s="61">
        <v>29</v>
      </c>
      <c r="C41" s="62" t="str">
        <f>DASAR!B30</f>
        <v>BONEGUNU</v>
      </c>
      <c r="D41" s="62" t="str">
        <f>DASAR!D30</f>
        <v>WAODE ANGKALO</v>
      </c>
      <c r="E41" s="225">
        <f>P!I41</f>
        <v>3679000</v>
      </c>
      <c r="F41" s="94">
        <f>'R'!I41</f>
        <v>4153000</v>
      </c>
      <c r="G41" s="95">
        <f t="shared" si="0"/>
        <v>7832000</v>
      </c>
      <c r="J41" s="227"/>
    </row>
    <row r="42" spans="2:10" s="238" customFormat="1" ht="21" customHeight="1" x14ac:dyDescent="0.3">
      <c r="B42" s="233">
        <v>30</v>
      </c>
      <c r="C42" s="234" t="str">
        <f>DASAR!B31</f>
        <v>BONEGUNU</v>
      </c>
      <c r="D42" s="234" t="str">
        <f>DASAR!D31</f>
        <v>LANGERE</v>
      </c>
      <c r="E42" s="235">
        <f>P!I42</f>
        <v>2180000</v>
      </c>
      <c r="F42" s="236">
        <f>'R'!I42</f>
        <v>2461000</v>
      </c>
      <c r="G42" s="237">
        <f t="shared" si="0"/>
        <v>4641000</v>
      </c>
      <c r="J42" s="239"/>
    </row>
    <row r="43" spans="2:10" s="67" customFormat="1" ht="21" customHeight="1" x14ac:dyDescent="0.3">
      <c r="B43" s="61">
        <v>31</v>
      </c>
      <c r="C43" s="62" t="str">
        <f>DASAR!B32</f>
        <v>BONEGUNU</v>
      </c>
      <c r="D43" s="62" t="str">
        <f>DASAR!D32</f>
        <v>KOEPISINO</v>
      </c>
      <c r="E43" s="225">
        <f>P!I43</f>
        <v>2280000</v>
      </c>
      <c r="F43" s="94">
        <f>'R'!I43</f>
        <v>2574000</v>
      </c>
      <c r="G43" s="95">
        <f t="shared" si="0"/>
        <v>4854000</v>
      </c>
      <c r="J43" s="227"/>
    </row>
    <row r="44" spans="2:10" s="238" customFormat="1" ht="21" customHeight="1" x14ac:dyDescent="0.3">
      <c r="B44" s="233">
        <v>32</v>
      </c>
      <c r="C44" s="234" t="str">
        <f>DASAR!B33</f>
        <v>BONEGUNU</v>
      </c>
      <c r="D44" s="234" t="str">
        <f>DASAR!D33</f>
        <v>WAODE KALOWO</v>
      </c>
      <c r="E44" s="235">
        <f>P!I44</f>
        <v>2262000</v>
      </c>
      <c r="F44" s="236">
        <f>'R'!I44</f>
        <v>2554000</v>
      </c>
      <c r="G44" s="237">
        <f t="shared" si="0"/>
        <v>4816000</v>
      </c>
      <c r="J44" s="239"/>
    </row>
    <row r="45" spans="2:10" s="67" customFormat="1" ht="21" customHeight="1" x14ac:dyDescent="0.3">
      <c r="B45" s="61">
        <v>33</v>
      </c>
      <c r="C45" s="62" t="str">
        <f>DASAR!B34</f>
        <v>BONEGUNU</v>
      </c>
      <c r="D45" s="62" t="str">
        <f>DASAR!D34</f>
        <v>LAANO IPI</v>
      </c>
      <c r="E45" s="225">
        <f>P!I45</f>
        <v>2389000</v>
      </c>
      <c r="F45" s="94">
        <f>'R'!I45</f>
        <v>2697000</v>
      </c>
      <c r="G45" s="95">
        <f t="shared" si="0"/>
        <v>5086000</v>
      </c>
      <c r="J45" s="227"/>
    </row>
    <row r="46" spans="2:10" s="238" customFormat="1" ht="21" customHeight="1" x14ac:dyDescent="0.3">
      <c r="B46" s="233">
        <v>34</v>
      </c>
      <c r="C46" s="234" t="str">
        <f>DASAR!B35</f>
        <v>BONEGUNU</v>
      </c>
      <c r="D46" s="234" t="str">
        <f>DASAR!D35</f>
        <v>EENSUMALA</v>
      </c>
      <c r="E46" s="235">
        <f>P!I46</f>
        <v>2578000</v>
      </c>
      <c r="F46" s="236">
        <f>'R'!I46</f>
        <v>2910000</v>
      </c>
      <c r="G46" s="237">
        <f t="shared" si="0"/>
        <v>5488000</v>
      </c>
      <c r="J46" s="239"/>
    </row>
    <row r="47" spans="2:10" s="67" customFormat="1" ht="21" customHeight="1" x14ac:dyDescent="0.3">
      <c r="B47" s="61">
        <v>35</v>
      </c>
      <c r="C47" s="62" t="str">
        <f>DASAR!B36</f>
        <v>BONEGUNU</v>
      </c>
      <c r="D47" s="62" t="str">
        <f>DASAR!D36</f>
        <v>TATOMBULI</v>
      </c>
      <c r="E47" s="225">
        <f>P!I47</f>
        <v>2377000</v>
      </c>
      <c r="F47" s="94">
        <f>'R'!I47</f>
        <v>2683000</v>
      </c>
      <c r="G47" s="95">
        <f t="shared" si="0"/>
        <v>5060000</v>
      </c>
      <c r="J47" s="227"/>
    </row>
    <row r="48" spans="2:10" s="238" customFormat="1" ht="21" customHeight="1" x14ac:dyDescent="0.3">
      <c r="B48" s="233">
        <v>36</v>
      </c>
      <c r="C48" s="234" t="str">
        <f>DASAR!B37</f>
        <v>BONEGUNU</v>
      </c>
      <c r="D48" s="234" t="str">
        <f>DASAR!D37</f>
        <v>RANTE GOLA</v>
      </c>
      <c r="E48" s="235">
        <f>P!I48</f>
        <v>2066000</v>
      </c>
      <c r="F48" s="236">
        <f>'R'!I48</f>
        <v>2333000</v>
      </c>
      <c r="G48" s="237">
        <f t="shared" si="0"/>
        <v>4399000</v>
      </c>
      <c r="J48" s="239"/>
    </row>
    <row r="49" spans="2:10" s="67" customFormat="1" ht="21" customHeight="1" x14ac:dyDescent="0.3">
      <c r="B49" s="61">
        <v>37</v>
      </c>
      <c r="C49" s="62" t="str">
        <f>DASAR!B38</f>
        <v>BONEGUNU</v>
      </c>
      <c r="D49" s="62" t="str">
        <f>DASAR!D38</f>
        <v>NGAPA'EA</v>
      </c>
      <c r="E49" s="225">
        <f>P!I49</f>
        <v>2446000</v>
      </c>
      <c r="F49" s="94">
        <f>'R'!I49</f>
        <v>2762000</v>
      </c>
      <c r="G49" s="95">
        <f t="shared" si="0"/>
        <v>5208000</v>
      </c>
      <c r="J49" s="227"/>
    </row>
    <row r="50" spans="2:10" s="238" customFormat="1" ht="21" customHeight="1" x14ac:dyDescent="0.3">
      <c r="B50" s="233">
        <v>38</v>
      </c>
      <c r="C50" s="234" t="str">
        <f>DASAR!B39</f>
        <v>BONEGUNU</v>
      </c>
      <c r="D50" s="234" t="str">
        <f>DASAR!D39</f>
        <v>KOBORUNO</v>
      </c>
      <c r="E50" s="235">
        <f>P!I50</f>
        <v>2117000</v>
      </c>
      <c r="F50" s="236">
        <f>'R'!I50</f>
        <v>2390000</v>
      </c>
      <c r="G50" s="237">
        <f t="shared" si="0"/>
        <v>4507000</v>
      </c>
      <c r="J50" s="239"/>
    </row>
    <row r="51" spans="2:10" s="67" customFormat="1" ht="21" customHeight="1" x14ac:dyDescent="0.3">
      <c r="B51" s="61">
        <v>39</v>
      </c>
      <c r="C51" s="62" t="str">
        <f>DASAR!B40</f>
        <v>BONEGUNU</v>
      </c>
      <c r="D51" s="62" t="str">
        <f>DASAR!D40</f>
        <v>DAMAI LABORONA</v>
      </c>
      <c r="E51" s="225">
        <f>P!I51</f>
        <v>1706000</v>
      </c>
      <c r="F51" s="94">
        <f>'R'!I51</f>
        <v>1925000</v>
      </c>
      <c r="G51" s="95">
        <f t="shared" si="0"/>
        <v>3631000</v>
      </c>
      <c r="J51" s="227"/>
    </row>
    <row r="52" spans="2:10" s="238" customFormat="1" ht="21" customHeight="1" x14ac:dyDescent="0.3">
      <c r="B52" s="233">
        <v>40</v>
      </c>
      <c r="C52" s="234" t="str">
        <f>DASAR!B41</f>
        <v>KULISUSU BARAT</v>
      </c>
      <c r="D52" s="234" t="str">
        <f>DASAR!D41</f>
        <v>KOTAWO</v>
      </c>
      <c r="E52" s="235">
        <f>P!I52</f>
        <v>2559000</v>
      </c>
      <c r="F52" s="236">
        <f>'R'!I52</f>
        <v>2888000</v>
      </c>
      <c r="G52" s="237">
        <f t="shared" si="0"/>
        <v>5447000</v>
      </c>
      <c r="J52" s="239"/>
    </row>
    <row r="53" spans="2:10" s="67" customFormat="1" ht="21" customHeight="1" x14ac:dyDescent="0.3">
      <c r="B53" s="61">
        <v>41</v>
      </c>
      <c r="C53" s="62" t="str">
        <f>DASAR!B42</f>
        <v>KULISUSU BARAT</v>
      </c>
      <c r="D53" s="62" t="str">
        <f>DASAR!D42</f>
        <v>KARYA BHAKTI</v>
      </c>
      <c r="E53" s="225">
        <f>P!I53</f>
        <v>2875000</v>
      </c>
      <c r="F53" s="94">
        <f>'R'!I53</f>
        <v>3246000</v>
      </c>
      <c r="G53" s="95">
        <f t="shared" si="0"/>
        <v>6121000</v>
      </c>
      <c r="J53" s="227"/>
    </row>
    <row r="54" spans="2:10" s="238" customFormat="1" ht="21" customHeight="1" x14ac:dyDescent="0.3">
      <c r="B54" s="233">
        <v>42</v>
      </c>
      <c r="C54" s="234" t="str">
        <f>DASAR!B43</f>
        <v>KULISUSU BARAT</v>
      </c>
      <c r="D54" s="234" t="str">
        <f>DASAR!D43</f>
        <v>MARGAKARYA</v>
      </c>
      <c r="E54" s="235">
        <f>P!I54</f>
        <v>5359000</v>
      </c>
      <c r="F54" s="236">
        <f>'R'!I54</f>
        <v>6049000</v>
      </c>
      <c r="G54" s="237">
        <f t="shared" si="0"/>
        <v>11408000</v>
      </c>
      <c r="J54" s="239"/>
    </row>
    <row r="55" spans="2:10" s="67" customFormat="1" ht="21" customHeight="1" x14ac:dyDescent="0.3">
      <c r="B55" s="61">
        <v>43</v>
      </c>
      <c r="C55" s="62" t="str">
        <f>DASAR!B44</f>
        <v>KULISUSU BARAT</v>
      </c>
      <c r="D55" s="62" t="str">
        <f>DASAR!D44</f>
        <v>KASULATOMBI</v>
      </c>
      <c r="E55" s="225">
        <f>P!I55</f>
        <v>2591000</v>
      </c>
      <c r="F55" s="94">
        <f>'R'!I55</f>
        <v>2925000</v>
      </c>
      <c r="G55" s="95">
        <f t="shared" si="0"/>
        <v>5516000</v>
      </c>
      <c r="J55" s="227"/>
    </row>
    <row r="56" spans="2:10" s="238" customFormat="1" ht="21" customHeight="1" x14ac:dyDescent="0.3">
      <c r="B56" s="233">
        <v>44</v>
      </c>
      <c r="C56" s="234" t="str">
        <f>DASAR!B45</f>
        <v>KULISUSU BARAT</v>
      </c>
      <c r="D56" s="234" t="str">
        <f>DASAR!D45</f>
        <v>DAMPALA JAYA</v>
      </c>
      <c r="E56" s="235">
        <f>P!I56</f>
        <v>2757000</v>
      </c>
      <c r="F56" s="236">
        <f>'R'!I56</f>
        <v>3113000</v>
      </c>
      <c r="G56" s="237">
        <f t="shared" si="0"/>
        <v>5870000</v>
      </c>
      <c r="J56" s="239"/>
    </row>
    <row r="57" spans="2:10" s="67" customFormat="1" ht="21" customHeight="1" x14ac:dyDescent="0.3">
      <c r="B57" s="61">
        <v>45</v>
      </c>
      <c r="C57" s="62" t="str">
        <f>DASAR!B46</f>
        <v>KULISUSU BARAT</v>
      </c>
      <c r="D57" s="62" t="str">
        <f>DASAR!D46</f>
        <v>RAHMAT BARU</v>
      </c>
      <c r="E57" s="225">
        <f>P!I57</f>
        <v>2287000</v>
      </c>
      <c r="F57" s="94">
        <f>'R'!I57</f>
        <v>2581000</v>
      </c>
      <c r="G57" s="95">
        <f t="shared" si="0"/>
        <v>4868000</v>
      </c>
      <c r="J57" s="227"/>
    </row>
    <row r="58" spans="2:10" s="238" customFormat="1" ht="21" customHeight="1" x14ac:dyDescent="0.3">
      <c r="B58" s="233">
        <v>46</v>
      </c>
      <c r="C58" s="234" t="str">
        <f>DASAR!B47</f>
        <v>KULISUSU BARAT</v>
      </c>
      <c r="D58" s="234" t="str">
        <f>DASAR!D47</f>
        <v>SOLOY AGUNG</v>
      </c>
      <c r="E58" s="235">
        <f>P!I58</f>
        <v>1704000</v>
      </c>
      <c r="F58" s="236">
        <f>'R'!I58</f>
        <v>1925000</v>
      </c>
      <c r="G58" s="237">
        <f t="shared" si="0"/>
        <v>3629000</v>
      </c>
      <c r="J58" s="239"/>
    </row>
    <row r="59" spans="2:10" s="67" customFormat="1" ht="21" customHeight="1" x14ac:dyDescent="0.3">
      <c r="B59" s="61">
        <v>47</v>
      </c>
      <c r="C59" s="62" t="str">
        <f>DASAR!B48</f>
        <v>KULISUSU BARAT</v>
      </c>
      <c r="D59" s="62" t="str">
        <f>DASAR!D48</f>
        <v>BUMI LAPERO</v>
      </c>
      <c r="E59" s="225">
        <f>P!I59</f>
        <v>3008000</v>
      </c>
      <c r="F59" s="94">
        <f>'R'!I59</f>
        <v>3396000</v>
      </c>
      <c r="G59" s="95">
        <f t="shared" si="0"/>
        <v>6404000</v>
      </c>
      <c r="J59" s="227"/>
    </row>
    <row r="60" spans="2:10" s="238" customFormat="1" ht="21" customHeight="1" x14ac:dyDescent="0.3">
      <c r="B60" s="233">
        <v>48</v>
      </c>
      <c r="C60" s="234" t="str">
        <f>DASAR!B49</f>
        <v>KULISUSU BARAT</v>
      </c>
      <c r="D60" s="234" t="str">
        <f>DASAR!D49</f>
        <v>KARYA MULYA</v>
      </c>
      <c r="E60" s="235">
        <f>P!I60</f>
        <v>1706000</v>
      </c>
      <c r="F60" s="236">
        <f>'R'!I60</f>
        <v>1925000</v>
      </c>
      <c r="G60" s="237">
        <f t="shared" si="0"/>
        <v>3631000</v>
      </c>
      <c r="J60" s="239"/>
    </row>
    <row r="61" spans="2:10" s="67" customFormat="1" ht="21" customHeight="1" x14ac:dyDescent="0.3">
      <c r="B61" s="61">
        <v>49</v>
      </c>
      <c r="C61" s="62" t="str">
        <f>DASAR!B50</f>
        <v>KULISUSU BARAT</v>
      </c>
      <c r="D61" s="62" t="str">
        <f>DASAR!D50</f>
        <v>LAMBALE</v>
      </c>
      <c r="E61" s="225">
        <f>P!I61</f>
        <v>2085000</v>
      </c>
      <c r="F61" s="94">
        <f>'R'!I61</f>
        <v>2354000</v>
      </c>
      <c r="G61" s="95">
        <f t="shared" si="0"/>
        <v>4439000</v>
      </c>
      <c r="J61" s="227"/>
    </row>
    <row r="62" spans="2:10" s="238" customFormat="1" ht="21" customHeight="1" x14ac:dyDescent="0.3">
      <c r="B62" s="233">
        <v>50</v>
      </c>
      <c r="C62" s="234" t="str">
        <f>DASAR!B51</f>
        <v>KULISUSU BARAT</v>
      </c>
      <c r="D62" s="234" t="str">
        <f>DASAR!D51</f>
        <v>LAPANDEWA</v>
      </c>
      <c r="E62" s="235">
        <f>P!I62</f>
        <v>3469000</v>
      </c>
      <c r="F62" s="236">
        <f>'R'!I62</f>
        <v>3916000</v>
      </c>
      <c r="G62" s="237">
        <f t="shared" si="0"/>
        <v>7385000</v>
      </c>
      <c r="J62" s="239"/>
    </row>
    <row r="63" spans="2:10" s="67" customFormat="1" ht="21" customHeight="1" x14ac:dyDescent="0.3">
      <c r="B63" s="61">
        <v>51</v>
      </c>
      <c r="C63" s="62" t="str">
        <f>DASAR!B52</f>
        <v>KULISUSU BARAT</v>
      </c>
      <c r="D63" s="62" t="str">
        <f>DASAR!D52</f>
        <v>LAUKI</v>
      </c>
      <c r="E63" s="225">
        <f>P!I63</f>
        <v>2203000</v>
      </c>
      <c r="F63" s="94">
        <f>'R'!I63</f>
        <v>2487000</v>
      </c>
      <c r="G63" s="95">
        <f t="shared" si="0"/>
        <v>4690000</v>
      </c>
      <c r="J63" s="227"/>
    </row>
    <row r="64" spans="2:10" s="238" customFormat="1" ht="21" customHeight="1" x14ac:dyDescent="0.3">
      <c r="B64" s="233">
        <v>52</v>
      </c>
      <c r="C64" s="234" t="str">
        <f>DASAR!B53</f>
        <v>KULISUSU BARAT</v>
      </c>
      <c r="D64" s="234" t="str">
        <f>DASAR!D53</f>
        <v>MEKAR JAYA</v>
      </c>
      <c r="E64" s="235">
        <f>P!I64</f>
        <v>4100000</v>
      </c>
      <c r="F64" s="236">
        <f>'R'!I64</f>
        <v>4628000</v>
      </c>
      <c r="G64" s="237">
        <f t="shared" si="0"/>
        <v>8728000</v>
      </c>
      <c r="J64" s="239"/>
    </row>
    <row r="65" spans="2:10" s="67" customFormat="1" ht="21" customHeight="1" x14ac:dyDescent="0.3">
      <c r="B65" s="61">
        <v>53</v>
      </c>
      <c r="C65" s="62" t="str">
        <f>DASAR!B54</f>
        <v>KULISUSU BARAT</v>
      </c>
      <c r="D65" s="62" t="str">
        <f>DASAR!D54</f>
        <v>LABULANDA</v>
      </c>
      <c r="E65" s="225">
        <f>P!I65</f>
        <v>1730000</v>
      </c>
      <c r="F65" s="94">
        <f>'R'!I65</f>
        <v>1953000</v>
      </c>
      <c r="G65" s="95">
        <f t="shared" si="0"/>
        <v>3683000</v>
      </c>
      <c r="J65" s="227"/>
    </row>
    <row r="66" spans="2:10" s="238" customFormat="1" ht="21" customHeight="1" x14ac:dyDescent="0.3">
      <c r="B66" s="233">
        <v>54</v>
      </c>
      <c r="C66" s="234" t="str">
        <f>DASAR!B55</f>
        <v>KULISUSU UTARA</v>
      </c>
      <c r="D66" s="234" t="str">
        <f>DASAR!D55</f>
        <v>KOROLABU</v>
      </c>
      <c r="E66" s="235">
        <f>P!I66</f>
        <v>2432000</v>
      </c>
      <c r="F66" s="236">
        <f>'R'!I66</f>
        <v>2746000</v>
      </c>
      <c r="G66" s="237">
        <f t="shared" si="0"/>
        <v>5178000</v>
      </c>
      <c r="J66" s="239"/>
    </row>
    <row r="67" spans="2:10" s="67" customFormat="1" ht="21" customHeight="1" x14ac:dyDescent="0.3">
      <c r="B67" s="61">
        <v>55</v>
      </c>
      <c r="C67" s="62" t="str">
        <f>DASAR!B56</f>
        <v>KULISUSU UTARA</v>
      </c>
      <c r="D67" s="62" t="str">
        <f>DASAR!D56</f>
        <v>TOROMBIA</v>
      </c>
      <c r="E67" s="225">
        <f>P!I67</f>
        <v>2376000</v>
      </c>
      <c r="F67" s="94">
        <f>'R'!I67</f>
        <v>2682000</v>
      </c>
      <c r="G67" s="95">
        <f t="shared" si="0"/>
        <v>5058000</v>
      </c>
      <c r="J67" s="227"/>
    </row>
    <row r="68" spans="2:10" s="238" customFormat="1" ht="21" customHeight="1" x14ac:dyDescent="0.3">
      <c r="B68" s="233">
        <v>56</v>
      </c>
      <c r="C68" s="234" t="str">
        <f>DASAR!B57</f>
        <v>KULISUSU UTARA</v>
      </c>
      <c r="D68" s="234" t="str">
        <f>DASAR!D57</f>
        <v>LAMOAHI</v>
      </c>
      <c r="E68" s="235">
        <f>P!I68</f>
        <v>2293000</v>
      </c>
      <c r="F68" s="236">
        <f>'R'!I68</f>
        <v>2588000</v>
      </c>
      <c r="G68" s="237">
        <f t="shared" si="0"/>
        <v>4881000</v>
      </c>
      <c r="J68" s="239"/>
    </row>
    <row r="69" spans="2:10" s="67" customFormat="1" ht="21" customHeight="1" x14ac:dyDescent="0.3">
      <c r="B69" s="61">
        <v>57</v>
      </c>
      <c r="C69" s="62" t="str">
        <f>DASAR!B58</f>
        <v>KULISUSU UTARA</v>
      </c>
      <c r="D69" s="62" t="str">
        <f>DASAR!D58</f>
        <v>LANOSANGIA</v>
      </c>
      <c r="E69" s="225">
        <f>P!I69</f>
        <v>3036000</v>
      </c>
      <c r="F69" s="94">
        <f>'R'!I69</f>
        <v>3428000</v>
      </c>
      <c r="G69" s="95">
        <f t="shared" si="0"/>
        <v>6464000</v>
      </c>
      <c r="J69" s="227"/>
    </row>
    <row r="70" spans="2:10" s="238" customFormat="1" ht="21" customHeight="1" x14ac:dyDescent="0.3">
      <c r="B70" s="233">
        <v>58</v>
      </c>
      <c r="C70" s="234" t="str">
        <f>DASAR!B59</f>
        <v>KULISUSU UTARA</v>
      </c>
      <c r="D70" s="234" t="str">
        <f>DASAR!D59</f>
        <v>PEBAOA</v>
      </c>
      <c r="E70" s="235">
        <f>P!I70</f>
        <v>2853000</v>
      </c>
      <c r="F70" s="236">
        <f>'R'!I70</f>
        <v>3220000</v>
      </c>
      <c r="G70" s="237">
        <f t="shared" si="0"/>
        <v>6073000</v>
      </c>
      <c r="J70" s="239"/>
    </row>
    <row r="71" spans="2:10" s="67" customFormat="1" ht="21" customHeight="1" x14ac:dyDescent="0.3">
      <c r="B71" s="61">
        <v>59</v>
      </c>
      <c r="C71" s="62" t="str">
        <f>DASAR!B60</f>
        <v>KULISUSU UTARA</v>
      </c>
      <c r="D71" s="62" t="str">
        <f>DASAR!D60</f>
        <v>PETETEA'A</v>
      </c>
      <c r="E71" s="225">
        <f>P!I71</f>
        <v>4241000</v>
      </c>
      <c r="F71" s="94">
        <f>'R'!I71</f>
        <v>4787000</v>
      </c>
      <c r="G71" s="95">
        <f t="shared" si="0"/>
        <v>9028000</v>
      </c>
      <c r="J71" s="227"/>
    </row>
    <row r="72" spans="2:10" s="238" customFormat="1" ht="21" customHeight="1" x14ac:dyDescent="0.3">
      <c r="B72" s="233">
        <v>60</v>
      </c>
      <c r="C72" s="234" t="str">
        <f>DASAR!B61</f>
        <v>KULISUSU UTARA</v>
      </c>
      <c r="D72" s="234" t="str">
        <f>DASAR!D61</f>
        <v>LELAMO</v>
      </c>
      <c r="E72" s="235">
        <f>P!I72</f>
        <v>2643000</v>
      </c>
      <c r="F72" s="236">
        <f>'R'!I72</f>
        <v>2984000</v>
      </c>
      <c r="G72" s="237">
        <f t="shared" si="0"/>
        <v>5627000</v>
      </c>
      <c r="J72" s="239"/>
    </row>
    <row r="73" spans="2:10" s="67" customFormat="1" ht="21" customHeight="1" x14ac:dyDescent="0.3">
      <c r="B73" s="61">
        <v>61</v>
      </c>
      <c r="C73" s="62" t="str">
        <f>DASAR!B62</f>
        <v>KULISUSU UTARA</v>
      </c>
      <c r="D73" s="62" t="str">
        <f>DASAR!D62</f>
        <v>WAODEBURI</v>
      </c>
      <c r="E73" s="225">
        <f>P!I73</f>
        <v>3808000</v>
      </c>
      <c r="F73" s="94">
        <f>'R'!I73</f>
        <v>4298000</v>
      </c>
      <c r="G73" s="95">
        <f t="shared" si="0"/>
        <v>8106000</v>
      </c>
      <c r="J73" s="227"/>
    </row>
    <row r="74" spans="2:10" s="238" customFormat="1" ht="21" customHeight="1" x14ac:dyDescent="0.3">
      <c r="B74" s="233">
        <v>62</v>
      </c>
      <c r="C74" s="234" t="str">
        <f>DASAR!B63</f>
        <v>KULISUSU UTARA</v>
      </c>
      <c r="D74" s="234" t="str">
        <f>DASAR!D63</f>
        <v>ULU NAMBO</v>
      </c>
      <c r="E74" s="235">
        <f>P!I74</f>
        <v>2916000</v>
      </c>
      <c r="F74" s="236">
        <f>'R'!I74</f>
        <v>3292000</v>
      </c>
      <c r="G74" s="237">
        <f t="shared" si="0"/>
        <v>6208000</v>
      </c>
      <c r="J74" s="239"/>
    </row>
    <row r="75" spans="2:10" s="67" customFormat="1" ht="21" customHeight="1" x14ac:dyDescent="0.3">
      <c r="B75" s="61">
        <v>63</v>
      </c>
      <c r="C75" s="62" t="str">
        <f>DASAR!B64</f>
        <v>KULISUSU UTARA</v>
      </c>
      <c r="D75" s="62" t="str">
        <f>DASAR!D64</f>
        <v>BIRA</v>
      </c>
      <c r="E75" s="225">
        <f>P!I75</f>
        <v>2378000</v>
      </c>
      <c r="F75" s="94">
        <f>'R'!I75</f>
        <v>2684000</v>
      </c>
      <c r="G75" s="95">
        <f t="shared" si="0"/>
        <v>5062000</v>
      </c>
      <c r="J75" s="227"/>
    </row>
    <row r="76" spans="2:10" s="238" customFormat="1" ht="21" customHeight="1" x14ac:dyDescent="0.3">
      <c r="B76" s="233">
        <v>64</v>
      </c>
      <c r="C76" s="234" t="str">
        <f>DASAR!B65</f>
        <v>KULISUSU UTARA</v>
      </c>
      <c r="D76" s="234" t="str">
        <f>DASAR!D65</f>
        <v>E'ERINERE</v>
      </c>
      <c r="E76" s="235">
        <f>P!I76</f>
        <v>2159000</v>
      </c>
      <c r="F76" s="236">
        <f>'R'!I76</f>
        <v>2437000</v>
      </c>
      <c r="G76" s="237">
        <f t="shared" si="0"/>
        <v>4596000</v>
      </c>
      <c r="J76" s="239"/>
    </row>
    <row r="77" spans="2:10" s="67" customFormat="1" ht="21" customHeight="1" x14ac:dyDescent="0.3">
      <c r="B77" s="61">
        <v>65</v>
      </c>
      <c r="C77" s="62" t="str">
        <f>DASAR!B66</f>
        <v>KULISUSU UTARA</v>
      </c>
      <c r="D77" s="62" t="str">
        <f>DASAR!D66</f>
        <v>LABELETE</v>
      </c>
      <c r="E77" s="225">
        <f>P!I77</f>
        <v>2874000</v>
      </c>
      <c r="F77" s="94">
        <f>'R'!I77</f>
        <v>3245000</v>
      </c>
      <c r="G77" s="95">
        <f t="shared" si="0"/>
        <v>6119000</v>
      </c>
      <c r="J77" s="227"/>
    </row>
    <row r="78" spans="2:10" s="238" customFormat="1" ht="21" customHeight="1" x14ac:dyDescent="0.3">
      <c r="B78" s="233">
        <v>66</v>
      </c>
      <c r="C78" s="234" t="str">
        <f>DASAR!B67</f>
        <v>KULISUSU UTARA</v>
      </c>
      <c r="D78" s="234" t="str">
        <f>DASAR!D67</f>
        <v>WAMBOULE</v>
      </c>
      <c r="E78" s="235">
        <f>P!I78</f>
        <v>2713000</v>
      </c>
      <c r="F78" s="236">
        <f>'R'!I78</f>
        <v>3062000</v>
      </c>
      <c r="G78" s="237">
        <f t="shared" ref="G78:G90" si="1">E78+F78</f>
        <v>5775000</v>
      </c>
      <c r="J78" s="239"/>
    </row>
    <row r="79" spans="2:10" s="67" customFormat="1" ht="21" customHeight="1" x14ac:dyDescent="0.3">
      <c r="B79" s="61">
        <v>67</v>
      </c>
      <c r="C79" s="62" t="str">
        <f>DASAR!B68</f>
        <v>KULISUSU UTARA</v>
      </c>
      <c r="D79" s="62" t="str">
        <f>DASAR!D68</f>
        <v>WOWONGA JAYA</v>
      </c>
      <c r="E79" s="225">
        <f>P!I79</f>
        <v>2278000</v>
      </c>
      <c r="F79" s="94">
        <f>'R'!I79</f>
        <v>2571000</v>
      </c>
      <c r="G79" s="95">
        <f t="shared" si="1"/>
        <v>4849000</v>
      </c>
      <c r="J79" s="227"/>
    </row>
    <row r="80" spans="2:10" s="238" customFormat="1" ht="21" customHeight="1" x14ac:dyDescent="0.3">
      <c r="B80" s="233">
        <v>68</v>
      </c>
      <c r="C80" s="234" t="str">
        <f>DASAR!B69</f>
        <v>WAKORUMBA UTARA</v>
      </c>
      <c r="D80" s="234" t="str">
        <f>DASAR!D69</f>
        <v>LASIWA</v>
      </c>
      <c r="E80" s="235">
        <f>P!I80</f>
        <v>2792000</v>
      </c>
      <c r="F80" s="236">
        <f>'R'!I80</f>
        <v>3151000</v>
      </c>
      <c r="G80" s="237">
        <f t="shared" si="1"/>
        <v>5943000</v>
      </c>
      <c r="J80" s="239"/>
    </row>
    <row r="81" spans="1:10" s="67" customFormat="1" ht="21" customHeight="1" x14ac:dyDescent="0.3">
      <c r="B81" s="61">
        <v>69</v>
      </c>
      <c r="C81" s="62" t="str">
        <f>DASAR!B70</f>
        <v>WAKORUMBA UTARA</v>
      </c>
      <c r="D81" s="62" t="str">
        <f>DASAR!D70</f>
        <v>LAEA</v>
      </c>
      <c r="E81" s="225">
        <f>P!I81</f>
        <v>3244000</v>
      </c>
      <c r="F81" s="94">
        <f>'R'!I81</f>
        <v>3662000</v>
      </c>
      <c r="G81" s="95">
        <f t="shared" si="1"/>
        <v>6906000</v>
      </c>
      <c r="J81" s="227"/>
    </row>
    <row r="82" spans="1:10" s="238" customFormat="1" ht="21" customHeight="1" x14ac:dyDescent="0.3">
      <c r="B82" s="233">
        <v>70</v>
      </c>
      <c r="C82" s="234" t="str">
        <f>DASAR!B71</f>
        <v>WAKORUMBA UTARA</v>
      </c>
      <c r="D82" s="234" t="str">
        <f>DASAR!D71</f>
        <v>MATALAGI</v>
      </c>
      <c r="E82" s="235">
        <f>P!I82</f>
        <v>4457000</v>
      </c>
      <c r="F82" s="236">
        <f>'R'!I82</f>
        <v>5031000</v>
      </c>
      <c r="G82" s="237">
        <f t="shared" si="1"/>
        <v>9488000</v>
      </c>
      <c r="J82" s="239"/>
    </row>
    <row r="83" spans="1:10" s="67" customFormat="1" ht="21" customHeight="1" x14ac:dyDescent="0.3">
      <c r="B83" s="61">
        <v>71</v>
      </c>
      <c r="C83" s="62" t="str">
        <f>DASAR!B72</f>
        <v>WAKORUMBA UTARA</v>
      </c>
      <c r="D83" s="62" t="str">
        <f>DASAR!D72</f>
        <v>WANTULASI</v>
      </c>
      <c r="E83" s="225">
        <f>P!I83</f>
        <v>4922000</v>
      </c>
      <c r="F83" s="94">
        <f>'R'!I83</f>
        <v>5555800</v>
      </c>
      <c r="G83" s="95">
        <f t="shared" si="1"/>
        <v>10477800</v>
      </c>
      <c r="J83" s="227"/>
    </row>
    <row r="84" spans="1:10" s="238" customFormat="1" ht="21" customHeight="1" x14ac:dyDescent="0.3">
      <c r="B84" s="233">
        <v>72</v>
      </c>
      <c r="C84" s="234" t="str">
        <f>DASAR!B73</f>
        <v>WAKORUMBA UTARA</v>
      </c>
      <c r="D84" s="234" t="str">
        <f>DASAR!D73</f>
        <v>LABUAN BAJO</v>
      </c>
      <c r="E84" s="235">
        <f>P!I84</f>
        <v>2930000</v>
      </c>
      <c r="F84" s="236">
        <f>'R'!I84</f>
        <v>3308000</v>
      </c>
      <c r="G84" s="237">
        <f t="shared" si="1"/>
        <v>6238000</v>
      </c>
      <c r="J84" s="239"/>
    </row>
    <row r="85" spans="1:10" s="67" customFormat="1" ht="21" customHeight="1" x14ac:dyDescent="0.3">
      <c r="B85" s="61">
        <v>73</v>
      </c>
      <c r="C85" s="62" t="str">
        <f>DASAR!B74</f>
        <v>WAKORUMBA UTARA</v>
      </c>
      <c r="D85" s="62" t="str">
        <f>DASAR!D74</f>
        <v>LABARAGA</v>
      </c>
      <c r="E85" s="225">
        <f>P!I85</f>
        <v>2558000</v>
      </c>
      <c r="F85" s="94">
        <f>'R'!I85</f>
        <v>2887000</v>
      </c>
      <c r="G85" s="95">
        <f t="shared" si="1"/>
        <v>5445000</v>
      </c>
      <c r="J85" s="227"/>
    </row>
    <row r="86" spans="1:10" s="238" customFormat="1" ht="21" customHeight="1" x14ac:dyDescent="0.3">
      <c r="B86" s="233">
        <v>74</v>
      </c>
      <c r="C86" s="234" t="str">
        <f>DASAR!B75</f>
        <v>WAKORUMBA UTARA</v>
      </c>
      <c r="D86" s="234" t="str">
        <f>DASAR!D75</f>
        <v>WAMORAPA</v>
      </c>
      <c r="E86" s="235">
        <f>P!I86</f>
        <v>2292000</v>
      </c>
      <c r="F86" s="236">
        <f>'R'!I86</f>
        <v>2587000</v>
      </c>
      <c r="G86" s="237">
        <f t="shared" si="1"/>
        <v>4879000</v>
      </c>
      <c r="J86" s="239"/>
    </row>
    <row r="87" spans="1:10" s="67" customFormat="1" ht="21" customHeight="1" x14ac:dyDescent="0.3">
      <c r="B87" s="61">
        <v>75</v>
      </c>
      <c r="C87" s="62" t="str">
        <f>DASAR!B76</f>
        <v>WAKORUMBA UTARA</v>
      </c>
      <c r="D87" s="62" t="str">
        <f>DASAR!D76</f>
        <v>SUMAMPENO</v>
      </c>
      <c r="E87" s="225">
        <f>P!I87</f>
        <v>2431000</v>
      </c>
      <c r="F87" s="94">
        <f>'R'!I87</f>
        <v>2744000</v>
      </c>
      <c r="G87" s="95">
        <f t="shared" si="1"/>
        <v>5175000</v>
      </c>
      <c r="J87" s="227"/>
    </row>
    <row r="88" spans="1:10" s="238" customFormat="1" ht="21" customHeight="1" x14ac:dyDescent="0.3">
      <c r="B88" s="233">
        <v>76</v>
      </c>
      <c r="C88" s="234" t="str">
        <f>DASAR!B77</f>
        <v>WAKORUMBA UTARA</v>
      </c>
      <c r="D88" s="234" t="str">
        <f>DASAR!D77</f>
        <v>OENGKAPALA</v>
      </c>
      <c r="E88" s="235">
        <f>P!I88</f>
        <v>2748000</v>
      </c>
      <c r="F88" s="236">
        <f>'R'!I88</f>
        <v>3102000</v>
      </c>
      <c r="G88" s="237">
        <f t="shared" si="1"/>
        <v>5850000</v>
      </c>
      <c r="J88" s="239"/>
    </row>
    <row r="89" spans="1:10" s="67" customFormat="1" ht="21" customHeight="1" x14ac:dyDescent="0.3">
      <c r="B89" s="61">
        <v>77</v>
      </c>
      <c r="C89" s="62" t="str">
        <f>DASAR!B78</f>
        <v>WAKORUMBA UTARA</v>
      </c>
      <c r="D89" s="62" t="str">
        <f>DASAR!D78</f>
        <v>LABUKO</v>
      </c>
      <c r="E89" s="225">
        <f>P!I89</f>
        <v>2391000</v>
      </c>
      <c r="F89" s="94">
        <f>'R'!I89</f>
        <v>2699000</v>
      </c>
      <c r="G89" s="95">
        <f t="shared" si="1"/>
        <v>5090000</v>
      </c>
      <c r="J89" s="227"/>
    </row>
    <row r="90" spans="1:10" s="238" customFormat="1" ht="21" customHeight="1" x14ac:dyDescent="0.3">
      <c r="B90" s="233">
        <v>78</v>
      </c>
      <c r="C90" s="234" t="str">
        <f>DASAR!B79</f>
        <v>WAKORUMBA UTARA</v>
      </c>
      <c r="D90" s="234" t="str">
        <f>DASAR!D79</f>
        <v>LABA JAYA</v>
      </c>
      <c r="E90" s="235">
        <f>P!I90</f>
        <v>3722000</v>
      </c>
      <c r="F90" s="236">
        <f>'R'!I90</f>
        <v>4201000</v>
      </c>
      <c r="G90" s="237">
        <f t="shared" si="1"/>
        <v>7923000</v>
      </c>
      <c r="J90" s="239"/>
    </row>
    <row r="91" spans="1:10" s="67" customFormat="1" ht="21" customHeight="1" x14ac:dyDescent="0.3">
      <c r="B91" s="114"/>
      <c r="C91" s="115"/>
      <c r="D91" s="115"/>
      <c r="E91" s="117"/>
      <c r="F91" s="114"/>
      <c r="G91" s="118"/>
      <c r="J91" s="227"/>
    </row>
    <row r="92" spans="1:10" s="103" customFormat="1" ht="28.5" customHeight="1" x14ac:dyDescent="0.25">
      <c r="A92" s="101"/>
      <c r="B92" s="255" t="s">
        <v>27</v>
      </c>
      <c r="C92" s="255"/>
      <c r="D92" s="255"/>
      <c r="E92" s="100">
        <f>DASAR!F81</f>
        <v>0.99999999999999978</v>
      </c>
      <c r="F92" s="119"/>
      <c r="G92" s="102">
        <f t="shared" ref="G92" si="2">SUM(G13:G90)</f>
        <v>472018800</v>
      </c>
      <c r="J92" s="228"/>
    </row>
    <row r="93" spans="1:10" s="42" customFormat="1" x14ac:dyDescent="0.3">
      <c r="J93" s="229"/>
    </row>
    <row r="94" spans="1:10" s="42" customFormat="1" x14ac:dyDescent="0.3">
      <c r="C94" s="256" t="s">
        <v>28</v>
      </c>
      <c r="D94" s="256"/>
      <c r="E94" s="131"/>
      <c r="F94" s="224"/>
      <c r="J94" s="229"/>
    </row>
    <row r="95" spans="1:10" s="42" customFormat="1" x14ac:dyDescent="0.3">
      <c r="C95" s="246" t="s">
        <v>147</v>
      </c>
      <c r="D95" s="246"/>
      <c r="E95" s="132"/>
      <c r="F95" s="57"/>
      <c r="J95" s="229"/>
    </row>
    <row r="96" spans="1:10" s="42" customFormat="1" x14ac:dyDescent="0.3">
      <c r="C96" s="246" t="s">
        <v>148</v>
      </c>
      <c r="D96" s="246"/>
      <c r="E96" s="132"/>
      <c r="F96" s="221"/>
      <c r="J96" s="229">
        <f>P!E95</f>
        <v>221726000</v>
      </c>
    </row>
    <row r="97" spans="2:10" s="42" customFormat="1" ht="21.75" x14ac:dyDescent="0.3">
      <c r="C97" s="246" t="s">
        <v>48</v>
      </c>
      <c r="D97" s="246"/>
      <c r="E97" s="132"/>
      <c r="F97" s="220" t="s">
        <v>170</v>
      </c>
      <c r="J97" s="229">
        <f>'R'!E95</f>
        <v>250292800</v>
      </c>
    </row>
    <row r="98" spans="2:10" s="42" customFormat="1" ht="21.75" x14ac:dyDescent="0.3">
      <c r="C98" s="246" t="s">
        <v>56</v>
      </c>
      <c r="D98" s="246"/>
      <c r="E98" s="132"/>
      <c r="F98" s="220"/>
      <c r="J98" s="229">
        <f>J96+J97</f>
        <v>472018800</v>
      </c>
    </row>
    <row r="99" spans="2:10" s="42" customFormat="1" ht="26.25" customHeight="1" x14ac:dyDescent="0.3">
      <c r="C99" s="246" t="s">
        <v>49</v>
      </c>
      <c r="D99" s="246"/>
      <c r="E99" s="132"/>
      <c r="F99" s="220" t="s">
        <v>315</v>
      </c>
      <c r="J99" s="229"/>
    </row>
    <row r="100" spans="2:10" s="42" customFormat="1" ht="26.25" customHeight="1" x14ac:dyDescent="0.3">
      <c r="C100" s="246" t="s">
        <v>57</v>
      </c>
      <c r="D100" s="246"/>
      <c r="E100" s="132"/>
      <c r="F100" s="220"/>
      <c r="J100" s="229"/>
    </row>
    <row r="101" spans="2:10" s="42" customFormat="1" ht="21.75" x14ac:dyDescent="0.3">
      <c r="C101" s="246" t="s">
        <v>32</v>
      </c>
      <c r="D101" s="246"/>
      <c r="E101" s="132"/>
      <c r="F101" s="220" t="s">
        <v>171</v>
      </c>
      <c r="J101" s="229"/>
    </row>
    <row r="102" spans="2:10" s="35" customFormat="1" x14ac:dyDescent="0.25">
      <c r="B102" s="36"/>
      <c r="C102" s="231"/>
      <c r="D102" s="232"/>
      <c r="E102" s="134"/>
      <c r="J102" s="230"/>
    </row>
    <row r="103" spans="2:10" s="35" customFormat="1" ht="15.75" x14ac:dyDescent="0.3">
      <c r="B103" s="36"/>
      <c r="C103" s="133"/>
      <c r="D103" s="219"/>
      <c r="E103" s="134"/>
      <c r="F103" s="221"/>
      <c r="J103" s="230"/>
    </row>
    <row r="104" spans="2:10" s="35" customFormat="1" ht="15.75" x14ac:dyDescent="0.3">
      <c r="B104" s="36"/>
      <c r="C104" s="137"/>
      <c r="D104" s="138"/>
      <c r="E104" s="134"/>
      <c r="F104" s="221"/>
      <c r="J104" s="230"/>
    </row>
    <row r="105" spans="2:10" s="35" customFormat="1" ht="15.75" x14ac:dyDescent="0.3">
      <c r="B105" s="36"/>
      <c r="C105" s="133"/>
      <c r="D105" s="136"/>
      <c r="E105" s="134"/>
      <c r="F105" s="221"/>
      <c r="J105" s="230"/>
    </row>
    <row r="106" spans="2:10" s="35" customFormat="1" x14ac:dyDescent="0.25">
      <c r="B106" s="36"/>
      <c r="C106" s="36"/>
      <c r="D106" s="38"/>
      <c r="J106" s="230"/>
    </row>
    <row r="107" spans="2:10" s="35" customFormat="1" x14ac:dyDescent="0.25">
      <c r="J107" s="230"/>
    </row>
    <row r="108" spans="2:10" s="35" customFormat="1" x14ac:dyDescent="0.25">
      <c r="J108" s="230"/>
    </row>
    <row r="109" spans="2:10" s="35" customFormat="1" x14ac:dyDescent="0.25">
      <c r="J109" s="230"/>
    </row>
    <row r="110" spans="2:10" s="35" customFormat="1" x14ac:dyDescent="0.25">
      <c r="J110" s="230"/>
    </row>
  </sheetData>
  <autoFilter ref="A12:G12"/>
  <mergeCells count="18">
    <mergeCell ref="C96:D96"/>
    <mergeCell ref="C100:D100"/>
    <mergeCell ref="C101:D101"/>
    <mergeCell ref="C97:D97"/>
    <mergeCell ref="C98:D98"/>
    <mergeCell ref="C99:D99"/>
    <mergeCell ref="B1:G1"/>
    <mergeCell ref="B7:G7"/>
    <mergeCell ref="B9:B11"/>
    <mergeCell ref="C9:C11"/>
    <mergeCell ref="D9:D11"/>
    <mergeCell ref="E9:E11"/>
    <mergeCell ref="G9:G11"/>
    <mergeCell ref="F9:F11"/>
    <mergeCell ref="E5:G6"/>
    <mergeCell ref="B92:D92"/>
    <mergeCell ref="C94:D94"/>
    <mergeCell ref="C95:D95"/>
  </mergeCells>
  <pageMargins left="0.28999999999999998" right="0.15748031496062992" top="0.53" bottom="1" header="0.19685039370078741" footer="0.19685039370078741"/>
  <pageSetup paperSize="5" scale="61" orientation="portrait" horizontalDpi="4294967293" r:id="rId1"/>
  <rowBreaks count="1" manualBreakCount="1">
    <brk id="65" min="1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110"/>
  <sheetViews>
    <sheetView view="pageBreakPreview" zoomScale="60" workbookViewId="0">
      <pane xSplit="2" ySplit="12" topLeftCell="C92" activePane="bottomRight" state="frozen"/>
      <selection pane="topRight" activeCell="C1" sqref="C1"/>
      <selection pane="bottomLeft" activeCell="A11" sqref="A11"/>
      <selection pane="bottomRight" activeCell="E96" sqref="E96"/>
    </sheetView>
  </sheetViews>
  <sheetFormatPr defaultColWidth="8.85546875" defaultRowHeight="15" x14ac:dyDescent="0.25"/>
  <cols>
    <col min="1" max="1" width="4.28515625" customWidth="1"/>
    <col min="2" max="2" width="7.28515625" customWidth="1"/>
    <col min="3" max="3" width="26.42578125" customWidth="1"/>
    <col min="4" max="4" width="25.7109375" customWidth="1"/>
    <col min="5" max="5" width="20.7109375" customWidth="1"/>
    <col min="6" max="7" width="21.42578125" customWidth="1"/>
    <col min="8" max="8" width="20.5703125" customWidth="1"/>
    <col min="9" max="9" width="21.28515625" customWidth="1"/>
    <col min="10" max="10" width="10.42578125" customWidth="1"/>
  </cols>
  <sheetData>
    <row r="1" spans="2:9" s="1" customFormat="1" ht="18.75" x14ac:dyDescent="0.3">
      <c r="B1" s="247"/>
      <c r="C1" s="247"/>
      <c r="D1" s="247"/>
      <c r="E1" s="247"/>
      <c r="F1" s="247"/>
      <c r="G1" s="247"/>
      <c r="H1" s="247"/>
      <c r="I1" s="247"/>
    </row>
    <row r="2" spans="2:9" s="1" customFormat="1" ht="21" customHeight="1" x14ac:dyDescent="0.25">
      <c r="B2" s="50"/>
      <c r="C2" s="53" t="s">
        <v>140</v>
      </c>
      <c r="D2" s="53" t="s">
        <v>146</v>
      </c>
      <c r="E2" s="52"/>
      <c r="F2" s="52"/>
      <c r="G2" s="52"/>
      <c r="H2" s="52"/>
      <c r="I2" s="52"/>
    </row>
    <row r="3" spans="2:9" s="1" customFormat="1" ht="21" customHeight="1" x14ac:dyDescent="0.25">
      <c r="B3" s="50"/>
      <c r="D3" s="53" t="s">
        <v>143</v>
      </c>
      <c r="E3" s="53" t="s">
        <v>141</v>
      </c>
      <c r="F3" s="93"/>
      <c r="G3" s="52"/>
      <c r="H3" s="52"/>
      <c r="I3" s="52"/>
    </row>
    <row r="4" spans="2:9" s="1" customFormat="1" ht="21" customHeight="1" x14ac:dyDescent="0.25">
      <c r="B4" s="50"/>
      <c r="D4" s="53" t="s">
        <v>144</v>
      </c>
      <c r="E4" s="53" t="s">
        <v>141</v>
      </c>
      <c r="F4" s="52"/>
      <c r="G4" s="52"/>
      <c r="H4" s="52"/>
      <c r="I4" s="52"/>
    </row>
    <row r="5" spans="2:9" ht="21" customHeight="1" x14ac:dyDescent="0.25">
      <c r="B5" s="58"/>
      <c r="D5" s="53" t="s">
        <v>145</v>
      </c>
      <c r="E5" s="253" t="s">
        <v>311</v>
      </c>
      <c r="F5" s="253"/>
      <c r="G5" s="253"/>
      <c r="H5" s="253"/>
      <c r="I5" s="52"/>
    </row>
    <row r="6" spans="2:9" ht="54.75" customHeight="1" thickBot="1" x14ac:dyDescent="0.3">
      <c r="B6" s="92"/>
      <c r="C6" s="92"/>
      <c r="D6" s="92"/>
      <c r="E6" s="254"/>
      <c r="F6" s="254"/>
      <c r="G6" s="254"/>
      <c r="H6" s="254"/>
      <c r="I6" s="92"/>
    </row>
    <row r="7" spans="2:9" ht="14.25" customHeight="1" thickTop="1" x14ac:dyDescent="0.25">
      <c r="B7" s="248"/>
      <c r="C7" s="248"/>
      <c r="D7" s="248"/>
      <c r="E7" s="248"/>
      <c r="F7" s="248"/>
      <c r="G7" s="248"/>
      <c r="H7" s="248"/>
      <c r="I7" s="248"/>
    </row>
    <row r="8" spans="2:9" ht="18" x14ac:dyDescent="0.25">
      <c r="B8" s="58"/>
      <c r="C8" s="58"/>
      <c r="D8" s="58"/>
      <c r="E8" s="58"/>
      <c r="F8" s="58"/>
      <c r="G8" s="58"/>
      <c r="H8" s="58"/>
      <c r="I8" s="58"/>
    </row>
    <row r="9" spans="2:9" ht="15" customHeight="1" x14ac:dyDescent="0.25">
      <c r="B9" s="261" t="s">
        <v>1</v>
      </c>
      <c r="C9" s="261" t="s">
        <v>40</v>
      </c>
      <c r="D9" s="261" t="s">
        <v>2</v>
      </c>
      <c r="E9" s="261" t="s">
        <v>162</v>
      </c>
      <c r="F9" s="262" t="s">
        <v>167</v>
      </c>
      <c r="G9" s="263"/>
      <c r="H9" s="264"/>
      <c r="I9" s="261" t="s">
        <v>166</v>
      </c>
    </row>
    <row r="10" spans="2:9" ht="15" customHeight="1" x14ac:dyDescent="0.25">
      <c r="B10" s="261"/>
      <c r="C10" s="261"/>
      <c r="D10" s="261"/>
      <c r="E10" s="261"/>
      <c r="F10" s="265"/>
      <c r="G10" s="266"/>
      <c r="H10" s="267"/>
      <c r="I10" s="261"/>
    </row>
    <row r="11" spans="2:9" ht="72" customHeight="1" x14ac:dyDescent="0.25">
      <c r="B11" s="261"/>
      <c r="C11" s="261"/>
      <c r="D11" s="261"/>
      <c r="E11" s="261"/>
      <c r="F11" s="75" t="s">
        <v>163</v>
      </c>
      <c r="G11" s="75" t="s">
        <v>164</v>
      </c>
      <c r="H11" s="75" t="s">
        <v>165</v>
      </c>
      <c r="I11" s="261"/>
    </row>
    <row r="12" spans="2:9" s="55" customFormat="1" ht="30" customHeight="1" x14ac:dyDescent="0.25">
      <c r="B12" s="76" t="s">
        <v>16</v>
      </c>
      <c r="C12" s="76" t="s">
        <v>17</v>
      </c>
      <c r="D12" s="76" t="s">
        <v>18</v>
      </c>
      <c r="E12" s="76" t="s">
        <v>19</v>
      </c>
      <c r="F12" s="76" t="s">
        <v>20</v>
      </c>
      <c r="G12" s="76" t="s">
        <v>37</v>
      </c>
      <c r="H12" s="76" t="s">
        <v>168</v>
      </c>
      <c r="I12" s="77" t="s">
        <v>169</v>
      </c>
    </row>
    <row r="13" spans="2:9" s="67" customFormat="1" ht="21" customHeight="1" x14ac:dyDescent="0.3">
      <c r="B13" s="61">
        <v>1</v>
      </c>
      <c r="C13" s="62" t="str">
        <f>DASAR!B2</f>
        <v>KULISUSU</v>
      </c>
      <c r="D13" s="62" t="str">
        <f>DASAR!D2</f>
        <v>TRIWACUWACU</v>
      </c>
      <c r="E13" s="68">
        <f>E$97</f>
        <v>1705584.6153846155</v>
      </c>
      <c r="F13" s="104">
        <f>DASAR!F2</f>
        <v>2.5880369260450228E-2</v>
      </c>
      <c r="G13" s="94">
        <f>E$99</f>
        <v>88690400</v>
      </c>
      <c r="H13" s="94">
        <f>F13*G13</f>
        <v>2295340.3018570347</v>
      </c>
      <c r="I13" s="95">
        <f>ROUND(E13+H13,-3)</f>
        <v>4001000</v>
      </c>
    </row>
    <row r="14" spans="2:9" s="84" customFormat="1" ht="21" customHeight="1" x14ac:dyDescent="0.3">
      <c r="B14" s="78">
        <v>2</v>
      </c>
      <c r="C14" s="79" t="str">
        <f>DASAR!B3</f>
        <v>KULISUSU</v>
      </c>
      <c r="D14" s="79" t="str">
        <f>DASAR!D3</f>
        <v>WACULAEA</v>
      </c>
      <c r="E14" s="96">
        <f t="shared" ref="E14:E77" si="0">E$97</f>
        <v>1705584.6153846155</v>
      </c>
      <c r="F14" s="105">
        <f>DASAR!F3</f>
        <v>5.9135800226294997E-3</v>
      </c>
      <c r="G14" s="97">
        <f t="shared" ref="G14:G77" si="1">E$99</f>
        <v>88690400</v>
      </c>
      <c r="H14" s="97">
        <f t="shared" ref="H14:H77" si="2">F14*G14</f>
        <v>524477.77763901942</v>
      </c>
      <c r="I14" s="98">
        <f t="shared" ref="I14:I77" si="3">ROUND(E14+H14,-3)</f>
        <v>2230000</v>
      </c>
    </row>
    <row r="15" spans="2:9" s="67" customFormat="1" ht="21" customHeight="1" x14ac:dyDescent="0.3">
      <c r="B15" s="61">
        <v>3</v>
      </c>
      <c r="C15" s="62" t="str">
        <f>DASAR!B4</f>
        <v>KULISUSU</v>
      </c>
      <c r="D15" s="62" t="str">
        <f>DASAR!D4</f>
        <v>E'ELAHAJI</v>
      </c>
      <c r="E15" s="68">
        <f t="shared" si="0"/>
        <v>1705584.6153846155</v>
      </c>
      <c r="F15" s="104">
        <f>DASAR!F4</f>
        <v>3.6709843983997237E-2</v>
      </c>
      <c r="G15" s="94">
        <f t="shared" si="1"/>
        <v>88690400</v>
      </c>
      <c r="H15" s="94">
        <f t="shared" si="2"/>
        <v>3255810.7468783087</v>
      </c>
      <c r="I15" s="95">
        <f t="shared" si="3"/>
        <v>4961000</v>
      </c>
    </row>
    <row r="16" spans="2:9" s="84" customFormat="1" ht="21" customHeight="1" x14ac:dyDescent="0.3">
      <c r="B16" s="78">
        <v>4</v>
      </c>
      <c r="C16" s="79" t="str">
        <f>DASAR!B5</f>
        <v>KULISUSU</v>
      </c>
      <c r="D16" s="79" t="str">
        <f>DASAR!D5</f>
        <v>TOMOAHI</v>
      </c>
      <c r="E16" s="96">
        <f t="shared" si="0"/>
        <v>1705584.6153846155</v>
      </c>
      <c r="F16" s="105">
        <f>DASAR!F5</f>
        <v>2.9421308257520838E-2</v>
      </c>
      <c r="G16" s="97">
        <f t="shared" si="1"/>
        <v>88690400</v>
      </c>
      <c r="H16" s="97">
        <f t="shared" si="2"/>
        <v>2609387.5978828263</v>
      </c>
      <c r="I16" s="98">
        <f>ROUND(E16+H16,-3)</f>
        <v>4315000</v>
      </c>
    </row>
    <row r="17" spans="2:9" s="67" customFormat="1" ht="21" customHeight="1" x14ac:dyDescent="0.3">
      <c r="B17" s="61">
        <v>5</v>
      </c>
      <c r="C17" s="62" t="str">
        <f>DASAR!B6</f>
        <v>KULISUSU</v>
      </c>
      <c r="D17" s="62" t="str">
        <f>DASAR!D6</f>
        <v>KALIBU</v>
      </c>
      <c r="E17" s="68">
        <f t="shared" si="0"/>
        <v>1705584.6153846155</v>
      </c>
      <c r="F17" s="104">
        <f>DASAR!F6</f>
        <v>1.6129368740613683E-2</v>
      </c>
      <c r="G17" s="94">
        <f t="shared" si="1"/>
        <v>88690400</v>
      </c>
      <c r="H17" s="94">
        <f t="shared" si="2"/>
        <v>1430520.1653525238</v>
      </c>
      <c r="I17" s="95">
        <f t="shared" si="3"/>
        <v>3136000</v>
      </c>
    </row>
    <row r="18" spans="2:9" s="84" customFormat="1" ht="21" customHeight="1" x14ac:dyDescent="0.3">
      <c r="B18" s="78">
        <v>6</v>
      </c>
      <c r="C18" s="79" t="str">
        <f>DASAR!B7</f>
        <v>KULISUSU</v>
      </c>
      <c r="D18" s="79" t="str">
        <f>DASAR!D7</f>
        <v>JAMPAKA</v>
      </c>
      <c r="E18" s="96">
        <f t="shared" si="0"/>
        <v>1705584.6153846155</v>
      </c>
      <c r="F18" s="105">
        <f>DASAR!F7</f>
        <v>2.6832880153148317E-2</v>
      </c>
      <c r="G18" s="97">
        <f t="shared" si="1"/>
        <v>88690400</v>
      </c>
      <c r="H18" s="97">
        <f t="shared" si="2"/>
        <v>2379818.8739347854</v>
      </c>
      <c r="I18" s="98">
        <f t="shared" si="3"/>
        <v>4085000</v>
      </c>
    </row>
    <row r="19" spans="2:9" s="67" customFormat="1" ht="21" customHeight="1" x14ac:dyDescent="0.3">
      <c r="B19" s="61">
        <v>7</v>
      </c>
      <c r="C19" s="62" t="str">
        <f>DASAR!B8</f>
        <v>KULISUSU</v>
      </c>
      <c r="D19" s="62" t="str">
        <f>DASAR!D8</f>
        <v>LOJI</v>
      </c>
      <c r="E19" s="68">
        <f t="shared" si="0"/>
        <v>1705584.6153846155</v>
      </c>
      <c r="F19" s="104">
        <f>DASAR!F8</f>
        <v>1.6340660602567263E-2</v>
      </c>
      <c r="G19" s="94">
        <f t="shared" si="1"/>
        <v>88690400</v>
      </c>
      <c r="H19" s="94">
        <f t="shared" si="2"/>
        <v>1449259.7251059315</v>
      </c>
      <c r="I19" s="95">
        <f t="shared" si="3"/>
        <v>3155000</v>
      </c>
    </row>
    <row r="20" spans="2:9" s="84" customFormat="1" ht="21" customHeight="1" x14ac:dyDescent="0.3">
      <c r="B20" s="78">
        <v>8</v>
      </c>
      <c r="C20" s="79" t="str">
        <f>DASAR!B9</f>
        <v>KULISUSU</v>
      </c>
      <c r="D20" s="79" t="str">
        <f>DASAR!D9</f>
        <v>LINSOWU</v>
      </c>
      <c r="E20" s="96">
        <f t="shared" si="0"/>
        <v>1705584.6153846155</v>
      </c>
      <c r="F20" s="105">
        <f>DASAR!F9</f>
        <v>1.8371267856273115E-2</v>
      </c>
      <c r="G20" s="97">
        <f t="shared" si="1"/>
        <v>88690400</v>
      </c>
      <c r="H20" s="97">
        <f t="shared" si="2"/>
        <v>1629355.094680005</v>
      </c>
      <c r="I20" s="98">
        <f t="shared" si="3"/>
        <v>3335000</v>
      </c>
    </row>
    <row r="21" spans="2:9" s="67" customFormat="1" ht="21" customHeight="1" x14ac:dyDescent="0.3">
      <c r="B21" s="61">
        <v>9</v>
      </c>
      <c r="C21" s="62" t="str">
        <f>DASAR!B10</f>
        <v>KULISUSU</v>
      </c>
      <c r="D21" s="62" t="str">
        <f>DASAR!D10</f>
        <v>ROMBO</v>
      </c>
      <c r="E21" s="68">
        <f t="shared" si="0"/>
        <v>1705584.6153846155</v>
      </c>
      <c r="F21" s="104">
        <f>DASAR!F10</f>
        <v>1.3891275834532911E-5</v>
      </c>
      <c r="G21" s="94">
        <f t="shared" si="1"/>
        <v>88690400</v>
      </c>
      <c r="H21" s="94">
        <f t="shared" si="2"/>
        <v>1232.0228102750577</v>
      </c>
      <c r="I21" s="95">
        <f t="shared" si="3"/>
        <v>1707000</v>
      </c>
    </row>
    <row r="22" spans="2:9" s="84" customFormat="1" ht="21" customHeight="1" x14ac:dyDescent="0.3">
      <c r="B22" s="78">
        <v>10</v>
      </c>
      <c r="C22" s="79" t="str">
        <f>DASAR!B11</f>
        <v>KULISUSU</v>
      </c>
      <c r="D22" s="79" t="str">
        <f>DASAR!D11</f>
        <v>WASALABOSE</v>
      </c>
      <c r="E22" s="96">
        <f t="shared" si="0"/>
        <v>1705584.6153846155</v>
      </c>
      <c r="F22" s="105">
        <f>DASAR!F11</f>
        <v>1.7434854174012086E-2</v>
      </c>
      <c r="G22" s="97">
        <f t="shared" si="1"/>
        <v>88690400</v>
      </c>
      <c r="H22" s="97">
        <f t="shared" si="2"/>
        <v>1546304.1906348015</v>
      </c>
      <c r="I22" s="98">
        <f t="shared" si="3"/>
        <v>3252000</v>
      </c>
    </row>
    <row r="23" spans="2:9" s="67" customFormat="1" ht="21" customHeight="1" x14ac:dyDescent="0.3">
      <c r="B23" s="61">
        <v>11</v>
      </c>
      <c r="C23" s="62" t="str">
        <f>DASAR!B12</f>
        <v>KULISUSU</v>
      </c>
      <c r="D23" s="62" t="str">
        <f>DASAR!D12</f>
        <v>MALALANDA</v>
      </c>
      <c r="E23" s="68">
        <f t="shared" si="0"/>
        <v>1705584.6153846155</v>
      </c>
      <c r="F23" s="104">
        <f>DASAR!F12</f>
        <v>3.862030281475505E-3</v>
      </c>
      <c r="G23" s="94">
        <f t="shared" si="1"/>
        <v>88690400</v>
      </c>
      <c r="H23" s="94">
        <f t="shared" si="2"/>
        <v>342525.01047617511</v>
      </c>
      <c r="I23" s="95">
        <f t="shared" si="3"/>
        <v>2048000</v>
      </c>
    </row>
    <row r="24" spans="2:9" s="84" customFormat="1" ht="21" customHeight="1" x14ac:dyDescent="0.3">
      <c r="B24" s="78">
        <v>12</v>
      </c>
      <c r="C24" s="79" t="str">
        <f>DASAR!B13</f>
        <v>KULISUSU</v>
      </c>
      <c r="D24" s="79" t="str">
        <f>DASAR!D13</f>
        <v>LEMO'EA</v>
      </c>
      <c r="E24" s="96">
        <f t="shared" si="0"/>
        <v>1705584.6153846155</v>
      </c>
      <c r="F24" s="105">
        <f>DASAR!F13</f>
        <v>1.1151154998047289E-2</v>
      </c>
      <c r="G24" s="97">
        <f t="shared" si="1"/>
        <v>88690400</v>
      </c>
      <c r="H24" s="97">
        <f t="shared" si="2"/>
        <v>989000.39723881322</v>
      </c>
      <c r="I24" s="98">
        <f t="shared" si="3"/>
        <v>2695000</v>
      </c>
    </row>
    <row r="25" spans="2:9" s="67" customFormat="1" ht="21" customHeight="1" x14ac:dyDescent="0.3">
      <c r="B25" s="61">
        <v>13</v>
      </c>
      <c r="C25" s="62" t="str">
        <f>DASAR!B14</f>
        <v>KULISUSU</v>
      </c>
      <c r="D25" s="62" t="str">
        <f>DASAR!D14</f>
        <v>LANTAGI</v>
      </c>
      <c r="E25" s="68">
        <f t="shared" si="0"/>
        <v>1705584.6153846155</v>
      </c>
      <c r="F25" s="104">
        <f>DASAR!F14</f>
        <v>3.3406879211503181E-3</v>
      </c>
      <c r="G25" s="94">
        <f t="shared" si="1"/>
        <v>88690400</v>
      </c>
      <c r="H25" s="94">
        <f t="shared" si="2"/>
        <v>296286.94800199015</v>
      </c>
      <c r="I25" s="95">
        <f t="shared" si="3"/>
        <v>2002000</v>
      </c>
    </row>
    <row r="26" spans="2:9" s="84" customFormat="1" ht="21" customHeight="1" x14ac:dyDescent="0.3">
      <c r="B26" s="78">
        <v>14</v>
      </c>
      <c r="C26" s="79" t="str">
        <f>DASAR!B15</f>
        <v>KULISUSU</v>
      </c>
      <c r="D26" s="79" t="str">
        <f>DASAR!D15</f>
        <v>LAANGKE</v>
      </c>
      <c r="E26" s="96">
        <f t="shared" si="0"/>
        <v>1705584.6153846155</v>
      </c>
      <c r="F26" s="105">
        <f>DASAR!F15</f>
        <v>6.7490930337388167E-3</v>
      </c>
      <c r="G26" s="97">
        <f t="shared" si="1"/>
        <v>88690400</v>
      </c>
      <c r="H26" s="97">
        <f t="shared" si="2"/>
        <v>598579.76079950912</v>
      </c>
      <c r="I26" s="98">
        <f t="shared" si="3"/>
        <v>2304000</v>
      </c>
    </row>
    <row r="27" spans="2:9" s="67" customFormat="1" ht="21" customHeight="1" x14ac:dyDescent="0.3">
      <c r="B27" s="61">
        <v>15</v>
      </c>
      <c r="C27" s="62" t="str">
        <f>DASAR!B16</f>
        <v>KULISUSU</v>
      </c>
      <c r="D27" s="62" t="str">
        <f>DASAR!D16</f>
        <v>KADACUA</v>
      </c>
      <c r="E27" s="68">
        <f t="shared" si="0"/>
        <v>1705584.6153846155</v>
      </c>
      <c r="F27" s="104">
        <f>DASAR!F16</f>
        <v>1.3003564965347754E-2</v>
      </c>
      <c r="G27" s="94">
        <f t="shared" si="1"/>
        <v>88690400</v>
      </c>
      <c r="H27" s="94">
        <f t="shared" si="2"/>
        <v>1153291.3782026784</v>
      </c>
      <c r="I27" s="95">
        <f t="shared" si="3"/>
        <v>2859000</v>
      </c>
    </row>
    <row r="28" spans="2:9" s="84" customFormat="1" ht="21" customHeight="1" x14ac:dyDescent="0.3">
      <c r="B28" s="78">
        <v>16</v>
      </c>
      <c r="C28" s="79" t="str">
        <f>DASAR!B17</f>
        <v>KULISUSU</v>
      </c>
      <c r="D28" s="79" t="str">
        <f>DASAR!D17</f>
        <v>BANU-BANUA JAYA</v>
      </c>
      <c r="E28" s="96">
        <f t="shared" si="0"/>
        <v>1705584.6153846155</v>
      </c>
      <c r="F28" s="105">
        <f>DASAR!F17</f>
        <v>4.6946177898940693E-3</v>
      </c>
      <c r="G28" s="97">
        <f t="shared" si="1"/>
        <v>88690400</v>
      </c>
      <c r="H28" s="97">
        <f t="shared" si="2"/>
        <v>416367.52963282098</v>
      </c>
      <c r="I28" s="98">
        <f t="shared" si="3"/>
        <v>2122000</v>
      </c>
    </row>
    <row r="29" spans="2:9" s="67" customFormat="1" ht="21" customHeight="1" x14ac:dyDescent="0.3">
      <c r="B29" s="61">
        <v>17</v>
      </c>
      <c r="C29" s="62" t="str">
        <f>DASAR!B18</f>
        <v>KAMBOWA</v>
      </c>
      <c r="D29" s="62" t="str">
        <f>DASAR!D18</f>
        <v>BUBU</v>
      </c>
      <c r="E29" s="68">
        <f t="shared" si="0"/>
        <v>1705584.6153846155</v>
      </c>
      <c r="F29" s="104">
        <f>DASAR!F18</f>
        <v>2.0955956429190983E-2</v>
      </c>
      <c r="G29" s="94">
        <f t="shared" si="1"/>
        <v>88690400</v>
      </c>
      <c r="H29" s="94">
        <f t="shared" si="2"/>
        <v>1858592.1580875199</v>
      </c>
      <c r="I29" s="95">
        <f t="shared" si="3"/>
        <v>3564000</v>
      </c>
    </row>
    <row r="30" spans="2:9" s="84" customFormat="1" ht="21" customHeight="1" x14ac:dyDescent="0.3">
      <c r="B30" s="78">
        <v>18</v>
      </c>
      <c r="C30" s="79" t="str">
        <f>DASAR!B19</f>
        <v>KAMBOWA</v>
      </c>
      <c r="D30" s="79" t="str">
        <f>DASAR!D19</f>
        <v>LAHUMOKO</v>
      </c>
      <c r="E30" s="96">
        <f t="shared" si="0"/>
        <v>1705584.6153846155</v>
      </c>
      <c r="F30" s="105">
        <f>DASAR!F19</f>
        <v>1.1283991712342593E-2</v>
      </c>
      <c r="G30" s="97">
        <f t="shared" si="1"/>
        <v>88690400</v>
      </c>
      <c r="H30" s="97">
        <f t="shared" si="2"/>
        <v>1000781.7385643495</v>
      </c>
      <c r="I30" s="98">
        <f t="shared" si="3"/>
        <v>2706000</v>
      </c>
    </row>
    <row r="31" spans="2:9" s="67" customFormat="1" ht="21" customHeight="1" x14ac:dyDescent="0.3">
      <c r="B31" s="61">
        <v>19</v>
      </c>
      <c r="C31" s="62" t="str">
        <f>DASAR!B20</f>
        <v>KAMBOWA</v>
      </c>
      <c r="D31" s="62" t="str">
        <f>DASAR!D20</f>
        <v>MORINDINO</v>
      </c>
      <c r="E31" s="68">
        <f t="shared" si="0"/>
        <v>1705584.6153846155</v>
      </c>
      <c r="F31" s="104">
        <f>DASAR!F20</f>
        <v>1.9772247476268431E-2</v>
      </c>
      <c r="G31" s="94">
        <f t="shared" si="1"/>
        <v>88690400</v>
      </c>
      <c r="H31" s="94">
        <f t="shared" si="2"/>
        <v>1753608.5375692376</v>
      </c>
      <c r="I31" s="95">
        <f t="shared" si="3"/>
        <v>3459000</v>
      </c>
    </row>
    <row r="32" spans="2:9" s="84" customFormat="1" ht="21" customHeight="1" x14ac:dyDescent="0.3">
      <c r="B32" s="78">
        <v>20</v>
      </c>
      <c r="C32" s="79" t="str">
        <f>DASAR!B21</f>
        <v>KAMBOWA</v>
      </c>
      <c r="D32" s="79" t="str">
        <f>DASAR!D21</f>
        <v>PONGKOWULU</v>
      </c>
      <c r="E32" s="96">
        <f t="shared" si="0"/>
        <v>1705584.6153846155</v>
      </c>
      <c r="F32" s="105">
        <f>DASAR!F21</f>
        <v>1.9180668047068677E-2</v>
      </c>
      <c r="G32" s="97">
        <f t="shared" si="1"/>
        <v>88690400</v>
      </c>
      <c r="H32" s="97">
        <f t="shared" si="2"/>
        <v>1701141.1213617397</v>
      </c>
      <c r="I32" s="98">
        <f t="shared" si="3"/>
        <v>3407000</v>
      </c>
    </row>
    <row r="33" spans="2:9" s="67" customFormat="1" ht="21" customHeight="1" x14ac:dyDescent="0.3">
      <c r="B33" s="61">
        <v>21</v>
      </c>
      <c r="C33" s="62" t="str">
        <f>DASAR!B22</f>
        <v>KAMBOWA</v>
      </c>
      <c r="D33" s="62" t="str">
        <f>DASAR!D22</f>
        <v>LAGUNDI</v>
      </c>
      <c r="E33" s="68">
        <f t="shared" si="0"/>
        <v>1705584.6153846155</v>
      </c>
      <c r="F33" s="104">
        <f>DASAR!F22</f>
        <v>2.4038588897418348E-2</v>
      </c>
      <c r="G33" s="94">
        <f t="shared" si="1"/>
        <v>88690400</v>
      </c>
      <c r="H33" s="94">
        <f t="shared" si="2"/>
        <v>2131992.0647475924</v>
      </c>
      <c r="I33" s="95">
        <f t="shared" si="3"/>
        <v>3838000</v>
      </c>
    </row>
    <row r="34" spans="2:9" s="84" customFormat="1" ht="21" customHeight="1" x14ac:dyDescent="0.3">
      <c r="B34" s="78">
        <v>22</v>
      </c>
      <c r="C34" s="79" t="str">
        <f>DASAR!B23</f>
        <v>KAMBOWA</v>
      </c>
      <c r="D34" s="79" t="str">
        <f>DASAR!D23</f>
        <v>KONDE</v>
      </c>
      <c r="E34" s="96">
        <f t="shared" si="0"/>
        <v>1705584.6153846155</v>
      </c>
      <c r="F34" s="105">
        <f>DASAR!F23</f>
        <v>6.4859783781569293E-3</v>
      </c>
      <c r="G34" s="97">
        <f t="shared" si="1"/>
        <v>88690400</v>
      </c>
      <c r="H34" s="97">
        <f t="shared" si="2"/>
        <v>575244.01675008936</v>
      </c>
      <c r="I34" s="98">
        <f t="shared" si="3"/>
        <v>2281000</v>
      </c>
    </row>
    <row r="35" spans="2:9" s="67" customFormat="1" ht="21" customHeight="1" x14ac:dyDescent="0.3">
      <c r="B35" s="61">
        <v>23</v>
      </c>
      <c r="C35" s="62" t="str">
        <f>DASAR!B24</f>
        <v>KAMBOWA</v>
      </c>
      <c r="D35" s="62" t="str">
        <f>DASAR!D24</f>
        <v>MATA</v>
      </c>
      <c r="E35" s="68">
        <f t="shared" si="0"/>
        <v>1705584.6153846155</v>
      </c>
      <c r="F35" s="104">
        <f>DASAR!F24</f>
        <v>1.3481197037131999E-2</v>
      </c>
      <c r="G35" s="94">
        <f t="shared" si="1"/>
        <v>88690400</v>
      </c>
      <c r="H35" s="94">
        <f t="shared" si="2"/>
        <v>1195652.7577020519</v>
      </c>
      <c r="I35" s="95">
        <f t="shared" si="3"/>
        <v>2901000</v>
      </c>
    </row>
    <row r="36" spans="2:9" s="84" customFormat="1" ht="21" customHeight="1" x14ac:dyDescent="0.3">
      <c r="B36" s="78">
        <v>24</v>
      </c>
      <c r="C36" s="79" t="str">
        <f>DASAR!B25</f>
        <v>KAMBOWA</v>
      </c>
      <c r="D36" s="79" t="str">
        <f>DASAR!D25</f>
        <v>BUBU BARAT</v>
      </c>
      <c r="E36" s="96">
        <f t="shared" si="0"/>
        <v>1705584.6153846155</v>
      </c>
      <c r="F36" s="105">
        <f>DASAR!F25</f>
        <v>1.6500304700968048E-2</v>
      </c>
      <c r="G36" s="97">
        <f t="shared" si="1"/>
        <v>88690400</v>
      </c>
      <c r="H36" s="97">
        <f t="shared" si="2"/>
        <v>1463418.6240507367</v>
      </c>
      <c r="I36" s="98">
        <f t="shared" si="3"/>
        <v>3169000</v>
      </c>
    </row>
    <row r="37" spans="2:9" s="67" customFormat="1" ht="21" customHeight="1" x14ac:dyDescent="0.3">
      <c r="B37" s="61">
        <v>25</v>
      </c>
      <c r="C37" s="62" t="str">
        <f>DASAR!B26</f>
        <v>KAMBOWA</v>
      </c>
      <c r="D37" s="62" t="str">
        <f>DASAR!D26</f>
        <v>BENTE</v>
      </c>
      <c r="E37" s="68">
        <f t="shared" si="0"/>
        <v>1705584.6153846155</v>
      </c>
      <c r="F37" s="104">
        <f>DASAR!F26</f>
        <v>5.313118511661147E-3</v>
      </c>
      <c r="G37" s="94">
        <f t="shared" si="1"/>
        <v>88690400</v>
      </c>
      <c r="H37" s="94">
        <f t="shared" si="2"/>
        <v>471222.60604663182</v>
      </c>
      <c r="I37" s="95">
        <f t="shared" si="3"/>
        <v>2177000</v>
      </c>
    </row>
    <row r="38" spans="2:9" s="84" customFormat="1" ht="21" customHeight="1" x14ac:dyDescent="0.3">
      <c r="B38" s="78">
        <v>26</v>
      </c>
      <c r="C38" s="79" t="str">
        <f>DASAR!B27</f>
        <v>KAMBOWA</v>
      </c>
      <c r="D38" s="79" t="str">
        <f>DASAR!D27</f>
        <v>BALUARA</v>
      </c>
      <c r="E38" s="96">
        <f t="shared" si="0"/>
        <v>1705584.6153846155</v>
      </c>
      <c r="F38" s="105">
        <f>DASAR!F27</f>
        <v>9.7241375706277264E-3</v>
      </c>
      <c r="G38" s="97">
        <f t="shared" si="1"/>
        <v>88690400</v>
      </c>
      <c r="H38" s="97">
        <f t="shared" si="2"/>
        <v>862437.6507940013</v>
      </c>
      <c r="I38" s="98">
        <f t="shared" si="3"/>
        <v>2568000</v>
      </c>
    </row>
    <row r="39" spans="2:9" s="67" customFormat="1" ht="21" customHeight="1" x14ac:dyDescent="0.3">
      <c r="B39" s="61">
        <v>27</v>
      </c>
      <c r="C39" s="62" t="str">
        <f>DASAR!B28</f>
        <v>BONEGUNU</v>
      </c>
      <c r="D39" s="62" t="str">
        <f>DASAR!D28</f>
        <v>GUNUNG SARI</v>
      </c>
      <c r="E39" s="68">
        <f t="shared" si="0"/>
        <v>1705584.6153846155</v>
      </c>
      <c r="F39" s="104">
        <f>DASAR!F28</f>
        <v>1.6669531001439496E-2</v>
      </c>
      <c r="G39" s="94">
        <f t="shared" si="1"/>
        <v>88690400</v>
      </c>
      <c r="H39" s="94">
        <f t="shared" si="2"/>
        <v>1478427.3723300695</v>
      </c>
      <c r="I39" s="95">
        <f t="shared" si="3"/>
        <v>3184000</v>
      </c>
    </row>
    <row r="40" spans="2:9" s="84" customFormat="1" ht="21" customHeight="1" x14ac:dyDescent="0.3">
      <c r="B40" s="78">
        <v>28</v>
      </c>
      <c r="C40" s="79" t="str">
        <f>DASAR!B29</f>
        <v>BONEGUNU</v>
      </c>
      <c r="D40" s="79" t="str">
        <f>DASAR!D29</f>
        <v>RONTA</v>
      </c>
      <c r="E40" s="96">
        <f t="shared" si="0"/>
        <v>1705584.6153846155</v>
      </c>
      <c r="F40" s="105">
        <f>DASAR!F29</f>
        <v>6.3077421961792038E-3</v>
      </c>
      <c r="G40" s="97">
        <f t="shared" si="1"/>
        <v>88690400</v>
      </c>
      <c r="H40" s="97">
        <f t="shared" si="2"/>
        <v>559436.17847601208</v>
      </c>
      <c r="I40" s="98">
        <f t="shared" si="3"/>
        <v>2265000</v>
      </c>
    </row>
    <row r="41" spans="2:9" s="67" customFormat="1" ht="21" customHeight="1" x14ac:dyDescent="0.3">
      <c r="B41" s="61">
        <v>29</v>
      </c>
      <c r="C41" s="62" t="str">
        <f>DASAR!B30</f>
        <v>BONEGUNU</v>
      </c>
      <c r="D41" s="62" t="str">
        <f>DASAR!D30</f>
        <v>WAODE ANGKALO</v>
      </c>
      <c r="E41" s="68">
        <f t="shared" si="0"/>
        <v>1705584.6153846155</v>
      </c>
      <c r="F41" s="104">
        <f>DASAR!F30</f>
        <v>2.2246525410598263E-2</v>
      </c>
      <c r="G41" s="94">
        <f t="shared" si="1"/>
        <v>88690400</v>
      </c>
      <c r="H41" s="94">
        <f t="shared" si="2"/>
        <v>1973053.2372761243</v>
      </c>
      <c r="I41" s="95">
        <f t="shared" si="3"/>
        <v>3679000</v>
      </c>
    </row>
    <row r="42" spans="2:9" s="84" customFormat="1" ht="21" customHeight="1" x14ac:dyDescent="0.3">
      <c r="B42" s="78">
        <v>30</v>
      </c>
      <c r="C42" s="79" t="str">
        <f>DASAR!B31</f>
        <v>BONEGUNU</v>
      </c>
      <c r="D42" s="79" t="str">
        <f>DASAR!D31</f>
        <v>LANGERE</v>
      </c>
      <c r="E42" s="96">
        <f t="shared" si="0"/>
        <v>1705584.6153846155</v>
      </c>
      <c r="F42" s="105">
        <f>DASAR!F31</f>
        <v>5.3521057664183466E-3</v>
      </c>
      <c r="G42" s="97">
        <f t="shared" si="1"/>
        <v>88690400</v>
      </c>
      <c r="H42" s="97">
        <f t="shared" si="2"/>
        <v>474680.40126594971</v>
      </c>
      <c r="I42" s="98">
        <f t="shared" si="3"/>
        <v>2180000</v>
      </c>
    </row>
    <row r="43" spans="2:9" s="67" customFormat="1" ht="21" customHeight="1" x14ac:dyDescent="0.3">
      <c r="B43" s="61">
        <v>31</v>
      </c>
      <c r="C43" s="62" t="str">
        <f>DASAR!B32</f>
        <v>BONEGUNU</v>
      </c>
      <c r="D43" s="62" t="str">
        <f>DASAR!D32</f>
        <v>KOEPISINO</v>
      </c>
      <c r="E43" s="68">
        <f t="shared" si="0"/>
        <v>1705584.6153846155</v>
      </c>
      <c r="F43" s="104">
        <f>DASAR!F32</f>
        <v>6.4780520161657447E-3</v>
      </c>
      <c r="G43" s="94">
        <f t="shared" si="1"/>
        <v>88690400</v>
      </c>
      <c r="H43" s="94">
        <f t="shared" si="2"/>
        <v>574541.02453454642</v>
      </c>
      <c r="I43" s="95">
        <f t="shared" si="3"/>
        <v>2280000</v>
      </c>
    </row>
    <row r="44" spans="2:9" s="84" customFormat="1" ht="21" customHeight="1" x14ac:dyDescent="0.3">
      <c r="B44" s="78">
        <v>32</v>
      </c>
      <c r="C44" s="79" t="str">
        <f>DASAR!B33</f>
        <v>BONEGUNU</v>
      </c>
      <c r="D44" s="79" t="str">
        <f>DASAR!D33</f>
        <v>WAODE KALOWO</v>
      </c>
      <c r="E44" s="96">
        <f t="shared" si="0"/>
        <v>1705584.6153846155</v>
      </c>
      <c r="F44" s="105">
        <f>DASAR!F33</f>
        <v>6.279128946215233E-3</v>
      </c>
      <c r="G44" s="97">
        <f t="shared" si="1"/>
        <v>88690400</v>
      </c>
      <c r="H44" s="97">
        <f t="shared" si="2"/>
        <v>556898.45789140754</v>
      </c>
      <c r="I44" s="98">
        <f t="shared" si="3"/>
        <v>2262000</v>
      </c>
    </row>
    <row r="45" spans="2:9" s="67" customFormat="1" ht="21" customHeight="1" x14ac:dyDescent="0.3">
      <c r="B45" s="61">
        <v>33</v>
      </c>
      <c r="C45" s="62" t="str">
        <f>DASAR!B34</f>
        <v>BONEGUNU</v>
      </c>
      <c r="D45" s="62" t="str">
        <f>DASAR!D34</f>
        <v>LAANO IPI</v>
      </c>
      <c r="E45" s="68">
        <f t="shared" si="0"/>
        <v>1705584.6153846155</v>
      </c>
      <c r="F45" s="104">
        <f>DASAR!F34</f>
        <v>7.7051962103677147E-3</v>
      </c>
      <c r="G45" s="94">
        <f t="shared" si="1"/>
        <v>88690400</v>
      </c>
      <c r="H45" s="94">
        <f t="shared" si="2"/>
        <v>683376.9339759968</v>
      </c>
      <c r="I45" s="95">
        <f t="shared" si="3"/>
        <v>2389000</v>
      </c>
    </row>
    <row r="46" spans="2:9" s="84" customFormat="1" ht="21" customHeight="1" x14ac:dyDescent="0.3">
      <c r="B46" s="78">
        <v>34</v>
      </c>
      <c r="C46" s="79" t="str">
        <f>DASAR!B35</f>
        <v>BONEGUNU</v>
      </c>
      <c r="D46" s="79" t="str">
        <f>DASAR!D35</f>
        <v>EENSUMALA</v>
      </c>
      <c r="E46" s="96">
        <f t="shared" si="0"/>
        <v>1705584.6153846155</v>
      </c>
      <c r="F46" s="105">
        <f>DASAR!F35</f>
        <v>9.8314032243668227E-3</v>
      </c>
      <c r="G46" s="97">
        <f t="shared" si="1"/>
        <v>88690400</v>
      </c>
      <c r="H46" s="97">
        <f t="shared" si="2"/>
        <v>871951.08453038323</v>
      </c>
      <c r="I46" s="98">
        <f t="shared" si="3"/>
        <v>2578000</v>
      </c>
    </row>
    <row r="47" spans="2:9" s="67" customFormat="1" ht="21" customHeight="1" x14ac:dyDescent="0.3">
      <c r="B47" s="61">
        <v>35</v>
      </c>
      <c r="C47" s="62" t="str">
        <f>DASAR!B36</f>
        <v>BONEGUNU</v>
      </c>
      <c r="D47" s="62" t="str">
        <f>DASAR!D36</f>
        <v>TATOMBULI</v>
      </c>
      <c r="E47" s="68">
        <f t="shared" si="0"/>
        <v>1705584.6153846155</v>
      </c>
      <c r="F47" s="104">
        <f>DASAR!F36</f>
        <v>7.5676642448403381E-3</v>
      </c>
      <c r="G47" s="94">
        <f t="shared" si="1"/>
        <v>88690400</v>
      </c>
      <c r="H47" s="94">
        <f t="shared" si="2"/>
        <v>671179.16894058755</v>
      </c>
      <c r="I47" s="95">
        <f t="shared" si="3"/>
        <v>2377000</v>
      </c>
    </row>
    <row r="48" spans="2:9" s="84" customFormat="1" ht="21" customHeight="1" x14ac:dyDescent="0.3">
      <c r="B48" s="78">
        <v>36</v>
      </c>
      <c r="C48" s="79" t="str">
        <f>DASAR!B37</f>
        <v>BONEGUNU</v>
      </c>
      <c r="D48" s="79" t="str">
        <f>DASAR!D37</f>
        <v>RANTE GOLA</v>
      </c>
      <c r="E48" s="96">
        <f t="shared" si="0"/>
        <v>1705584.6153846155</v>
      </c>
      <c r="F48" s="105">
        <f>DASAR!F37</f>
        <v>4.0682990580873171E-3</v>
      </c>
      <c r="G48" s="97">
        <f t="shared" si="1"/>
        <v>88690400</v>
      </c>
      <c r="H48" s="97">
        <f t="shared" si="2"/>
        <v>360819.07078138739</v>
      </c>
      <c r="I48" s="98">
        <f>ROUND(E48+H48,-3)-2000</f>
        <v>2064000</v>
      </c>
    </row>
    <row r="49" spans="2:9" s="67" customFormat="1" ht="21" customHeight="1" x14ac:dyDescent="0.3">
      <c r="B49" s="61">
        <v>37</v>
      </c>
      <c r="C49" s="62" t="str">
        <f>DASAR!B38</f>
        <v>BONEGUNU</v>
      </c>
      <c r="D49" s="62" t="str">
        <f>DASAR!D38</f>
        <v>NGAPA'EA</v>
      </c>
      <c r="E49" s="68">
        <f t="shared" si="0"/>
        <v>1705584.6153846155</v>
      </c>
      <c r="F49" s="104">
        <f>DASAR!F38</f>
        <v>8.3527380333944662E-3</v>
      </c>
      <c r="G49" s="94">
        <f t="shared" si="1"/>
        <v>88690400</v>
      </c>
      <c r="H49" s="94">
        <f t="shared" si="2"/>
        <v>740807.67727696861</v>
      </c>
      <c r="I49" s="95">
        <f t="shared" si="3"/>
        <v>2446000</v>
      </c>
    </row>
    <row r="50" spans="2:9" s="84" customFormat="1" ht="21" customHeight="1" x14ac:dyDescent="0.3">
      <c r="B50" s="78">
        <v>38</v>
      </c>
      <c r="C50" s="79" t="str">
        <f>DASAR!B39</f>
        <v>BONEGUNU</v>
      </c>
      <c r="D50" s="79" t="str">
        <f>DASAR!D39</f>
        <v>KOBORUNO</v>
      </c>
      <c r="E50" s="96">
        <f t="shared" si="0"/>
        <v>1705584.6153846155</v>
      </c>
      <c r="F50" s="105">
        <f>DASAR!F39</f>
        <v>4.6368661997395824E-3</v>
      </c>
      <c r="G50" s="97">
        <f t="shared" si="1"/>
        <v>88690400</v>
      </c>
      <c r="H50" s="97">
        <f t="shared" si="2"/>
        <v>411245.51800138346</v>
      </c>
      <c r="I50" s="98">
        <f t="shared" si="3"/>
        <v>2117000</v>
      </c>
    </row>
    <row r="51" spans="2:9" s="67" customFormat="1" ht="21" customHeight="1" x14ac:dyDescent="0.3">
      <c r="B51" s="61">
        <v>39</v>
      </c>
      <c r="C51" s="62" t="str">
        <f>DASAR!B40</f>
        <v>BONEGUNU</v>
      </c>
      <c r="D51" s="62" t="str">
        <f>DASAR!D40</f>
        <v>DAMAI LABORONA</v>
      </c>
      <c r="E51" s="68">
        <f t="shared" si="0"/>
        <v>1705584.6153846155</v>
      </c>
      <c r="F51" s="104">
        <f>DASAR!F40</f>
        <v>0</v>
      </c>
      <c r="G51" s="94">
        <f t="shared" si="1"/>
        <v>88690400</v>
      </c>
      <c r="H51" s="94">
        <f t="shared" si="2"/>
        <v>0</v>
      </c>
      <c r="I51" s="95">
        <f t="shared" si="3"/>
        <v>1706000</v>
      </c>
    </row>
    <row r="52" spans="2:9" s="84" customFormat="1" ht="21" customHeight="1" x14ac:dyDescent="0.3">
      <c r="B52" s="78">
        <v>40</v>
      </c>
      <c r="C52" s="79" t="str">
        <f>DASAR!B41</f>
        <v>KULISUSU BARAT</v>
      </c>
      <c r="D52" s="79" t="str">
        <f>DASAR!D41</f>
        <v>KOTAWO</v>
      </c>
      <c r="E52" s="96">
        <f t="shared" si="0"/>
        <v>1705584.6153846155</v>
      </c>
      <c r="F52" s="105">
        <f>DASAR!F41</f>
        <v>9.6193445639871766E-3</v>
      </c>
      <c r="G52" s="97">
        <f t="shared" si="1"/>
        <v>88690400</v>
      </c>
      <c r="H52" s="97">
        <f t="shared" si="2"/>
        <v>853143.51711784827</v>
      </c>
      <c r="I52" s="98">
        <f t="shared" si="3"/>
        <v>2559000</v>
      </c>
    </row>
    <row r="53" spans="2:9" s="67" customFormat="1" ht="21" customHeight="1" x14ac:dyDescent="0.3">
      <c r="B53" s="61">
        <v>41</v>
      </c>
      <c r="C53" s="62" t="str">
        <f>DASAR!B42</f>
        <v>KULISUSU BARAT</v>
      </c>
      <c r="D53" s="62" t="str">
        <f>DASAR!D42</f>
        <v>KARYA BHAKTI</v>
      </c>
      <c r="E53" s="68">
        <f t="shared" si="0"/>
        <v>1705584.6153846155</v>
      </c>
      <c r="F53" s="104">
        <f>DASAR!F42</f>
        <v>1.3190460968680727E-2</v>
      </c>
      <c r="G53" s="94">
        <f t="shared" si="1"/>
        <v>88690400</v>
      </c>
      <c r="H53" s="94">
        <f t="shared" si="2"/>
        <v>1169867.2594966812</v>
      </c>
      <c r="I53" s="95">
        <f t="shared" si="3"/>
        <v>2875000</v>
      </c>
    </row>
    <row r="54" spans="2:9" s="84" customFormat="1" ht="21" customHeight="1" x14ac:dyDescent="0.3">
      <c r="B54" s="78">
        <v>42</v>
      </c>
      <c r="C54" s="79" t="str">
        <f>DASAR!B43</f>
        <v>KULISUSU BARAT</v>
      </c>
      <c r="D54" s="79" t="str">
        <f>DASAR!D43</f>
        <v>MARGAKARYA</v>
      </c>
      <c r="E54" s="96">
        <f t="shared" si="0"/>
        <v>1705584.6153846155</v>
      </c>
      <c r="F54" s="105">
        <f>DASAR!F43</f>
        <v>4.1191314037486236E-2</v>
      </c>
      <c r="G54" s="97">
        <f t="shared" si="1"/>
        <v>88690400</v>
      </c>
      <c r="H54" s="97">
        <f t="shared" si="2"/>
        <v>3653274.1185102691</v>
      </c>
      <c r="I54" s="98">
        <f t="shared" si="3"/>
        <v>5359000</v>
      </c>
    </row>
    <row r="55" spans="2:9" s="67" customFormat="1" ht="21" customHeight="1" x14ac:dyDescent="0.3">
      <c r="B55" s="61">
        <v>43</v>
      </c>
      <c r="C55" s="62" t="str">
        <f>DASAR!B44</f>
        <v>KULISUSU BARAT</v>
      </c>
      <c r="D55" s="62" t="str">
        <f>DASAR!D44</f>
        <v>KASULATOMBI</v>
      </c>
      <c r="E55" s="68">
        <f t="shared" si="0"/>
        <v>1705584.6153846155</v>
      </c>
      <c r="F55" s="104">
        <f>DASAR!F44</f>
        <v>9.9862631673701963E-3</v>
      </c>
      <c r="G55" s="94">
        <f t="shared" si="1"/>
        <v>88690400</v>
      </c>
      <c r="H55" s="94">
        <f t="shared" si="2"/>
        <v>885685.67481932964</v>
      </c>
      <c r="I55" s="95">
        <f t="shared" si="3"/>
        <v>2591000</v>
      </c>
    </row>
    <row r="56" spans="2:9" s="84" customFormat="1" ht="21" customHeight="1" x14ac:dyDescent="0.3">
      <c r="B56" s="78">
        <v>44</v>
      </c>
      <c r="C56" s="79" t="str">
        <f>DASAR!B45</f>
        <v>KULISUSU BARAT</v>
      </c>
      <c r="D56" s="79" t="str">
        <f>DASAR!D45</f>
        <v>DAMPALA JAYA</v>
      </c>
      <c r="E56" s="96">
        <f t="shared" si="0"/>
        <v>1705584.6153846155</v>
      </c>
      <c r="F56" s="105">
        <f>DASAR!F45</f>
        <v>1.1859129427464593E-2</v>
      </c>
      <c r="G56" s="97">
        <f t="shared" si="1"/>
        <v>88690400</v>
      </c>
      <c r="H56" s="97">
        <f t="shared" si="2"/>
        <v>1051790.9325736058</v>
      </c>
      <c r="I56" s="98">
        <f t="shared" si="3"/>
        <v>2757000</v>
      </c>
    </row>
    <row r="57" spans="2:9" s="67" customFormat="1" ht="21" customHeight="1" x14ac:dyDescent="0.3">
      <c r="B57" s="61">
        <v>45</v>
      </c>
      <c r="C57" s="62" t="str">
        <f>DASAR!B46</f>
        <v>KULISUSU BARAT</v>
      </c>
      <c r="D57" s="62" t="str">
        <f>DASAR!D46</f>
        <v>RAHMAT BARU</v>
      </c>
      <c r="E57" s="68">
        <f t="shared" si="0"/>
        <v>1705584.6153846155</v>
      </c>
      <c r="F57" s="104">
        <f>DASAR!F46</f>
        <v>6.5539233865187967E-3</v>
      </c>
      <c r="G57" s="94">
        <f t="shared" si="1"/>
        <v>88690400</v>
      </c>
      <c r="H57" s="94">
        <f t="shared" si="2"/>
        <v>581270.08671970665</v>
      </c>
      <c r="I57" s="95">
        <f t="shared" si="3"/>
        <v>2287000</v>
      </c>
    </row>
    <row r="58" spans="2:9" s="84" customFormat="1" ht="21" customHeight="1" x14ac:dyDescent="0.3">
      <c r="B58" s="78">
        <v>46</v>
      </c>
      <c r="C58" s="79" t="str">
        <f>DASAR!B47</f>
        <v>KULISUSU BARAT</v>
      </c>
      <c r="D58" s="79" t="str">
        <f>DASAR!D47</f>
        <v>SOLOY AGUNG</v>
      </c>
      <c r="E58" s="96">
        <f t="shared" si="0"/>
        <v>1705584.6153846155</v>
      </c>
      <c r="F58" s="105">
        <f>DASAR!F47</f>
        <v>0</v>
      </c>
      <c r="G58" s="97">
        <f t="shared" si="1"/>
        <v>88690400</v>
      </c>
      <c r="H58" s="97">
        <f t="shared" si="2"/>
        <v>0</v>
      </c>
      <c r="I58" s="98">
        <f>ROUND(E58+H58,-3)</f>
        <v>1706000</v>
      </c>
    </row>
    <row r="59" spans="2:9" s="67" customFormat="1" ht="21" customHeight="1" x14ac:dyDescent="0.3">
      <c r="B59" s="61">
        <v>47</v>
      </c>
      <c r="C59" s="62" t="str">
        <f>DASAR!B48</f>
        <v>KULISUSU BARAT</v>
      </c>
      <c r="D59" s="62" t="str">
        <f>DASAR!D48</f>
        <v>BUMI LAPERO</v>
      </c>
      <c r="E59" s="68">
        <f t="shared" si="0"/>
        <v>1705584.6153846155</v>
      </c>
      <c r="F59" s="104">
        <f>DASAR!F48</f>
        <v>1.4687245939851648E-2</v>
      </c>
      <c r="G59" s="94">
        <f t="shared" si="1"/>
        <v>88690400</v>
      </c>
      <c r="H59" s="94">
        <f t="shared" si="2"/>
        <v>1302617.7173038186</v>
      </c>
      <c r="I59" s="95">
        <f t="shared" si="3"/>
        <v>3008000</v>
      </c>
    </row>
    <row r="60" spans="2:9" s="84" customFormat="1" ht="21" customHeight="1" x14ac:dyDescent="0.3">
      <c r="B60" s="78">
        <v>48</v>
      </c>
      <c r="C60" s="79" t="str">
        <f>DASAR!B49</f>
        <v>KULISUSU BARAT</v>
      </c>
      <c r="D60" s="79" t="str">
        <f>DASAR!D49</f>
        <v>KARYA MULYA</v>
      </c>
      <c r="E60" s="96">
        <f t="shared" si="0"/>
        <v>1705584.6153846155</v>
      </c>
      <c r="F60" s="105">
        <f>DASAR!F49</f>
        <v>0</v>
      </c>
      <c r="G60" s="97">
        <f t="shared" si="1"/>
        <v>88690400</v>
      </c>
      <c r="H60" s="97">
        <f t="shared" si="2"/>
        <v>0</v>
      </c>
      <c r="I60" s="98">
        <f t="shared" si="3"/>
        <v>1706000</v>
      </c>
    </row>
    <row r="61" spans="2:9" s="67" customFormat="1" ht="21" customHeight="1" x14ac:dyDescent="0.3">
      <c r="B61" s="61">
        <v>49</v>
      </c>
      <c r="C61" s="62" t="str">
        <f>DASAR!B50</f>
        <v>KULISUSU BARAT</v>
      </c>
      <c r="D61" s="62" t="str">
        <f>DASAR!D50</f>
        <v>LAMBALE</v>
      </c>
      <c r="E61" s="68">
        <f t="shared" si="0"/>
        <v>1705584.6153846155</v>
      </c>
      <c r="F61" s="104">
        <f>DASAR!F50</f>
        <v>4.2815690377197343E-3</v>
      </c>
      <c r="G61" s="94">
        <f t="shared" si="1"/>
        <v>88690400</v>
      </c>
      <c r="H61" s="94">
        <f t="shared" si="2"/>
        <v>379734.07058297831</v>
      </c>
      <c r="I61" s="95">
        <f t="shared" si="3"/>
        <v>2085000</v>
      </c>
    </row>
    <row r="62" spans="2:9" s="84" customFormat="1" ht="21" customHeight="1" x14ac:dyDescent="0.3">
      <c r="B62" s="78">
        <v>50</v>
      </c>
      <c r="C62" s="79" t="str">
        <f>DASAR!B51</f>
        <v>KULISUSU BARAT</v>
      </c>
      <c r="D62" s="79" t="str">
        <f>DASAR!D51</f>
        <v>LAPANDEWA</v>
      </c>
      <c r="E62" s="96">
        <f t="shared" si="0"/>
        <v>1705584.6153846155</v>
      </c>
      <c r="F62" s="105">
        <f>DASAR!F51</f>
        <v>1.9883399908986028E-2</v>
      </c>
      <c r="G62" s="97">
        <f t="shared" si="1"/>
        <v>88690400</v>
      </c>
      <c r="H62" s="97">
        <f t="shared" si="2"/>
        <v>1763466.6912879345</v>
      </c>
      <c r="I62" s="98">
        <f t="shared" si="3"/>
        <v>3469000</v>
      </c>
    </row>
    <row r="63" spans="2:9" s="67" customFormat="1" ht="21" customHeight="1" x14ac:dyDescent="0.3">
      <c r="B63" s="61">
        <v>51</v>
      </c>
      <c r="C63" s="62" t="str">
        <f>DASAR!B52</f>
        <v>KULISUSU BARAT</v>
      </c>
      <c r="D63" s="62" t="str">
        <f>DASAR!D52</f>
        <v>LAUKI</v>
      </c>
      <c r="E63" s="68">
        <f t="shared" si="0"/>
        <v>1705584.6153846155</v>
      </c>
      <c r="F63" s="104">
        <f>DASAR!F52</f>
        <v>5.6068023088445074E-3</v>
      </c>
      <c r="G63" s="94">
        <f t="shared" si="1"/>
        <v>88690400</v>
      </c>
      <c r="H63" s="94">
        <f t="shared" si="2"/>
        <v>497269.53949234291</v>
      </c>
      <c r="I63" s="95">
        <f t="shared" si="3"/>
        <v>2203000</v>
      </c>
    </row>
    <row r="64" spans="2:9" s="84" customFormat="1" ht="21" customHeight="1" x14ac:dyDescent="0.3">
      <c r="B64" s="78">
        <v>52</v>
      </c>
      <c r="C64" s="79" t="str">
        <f>DASAR!B53</f>
        <v>KULISUSU BARAT</v>
      </c>
      <c r="D64" s="79" t="str">
        <f>DASAR!D53</f>
        <v>MEKAR JAYA</v>
      </c>
      <c r="E64" s="96">
        <f t="shared" si="0"/>
        <v>1705584.6153846155</v>
      </c>
      <c r="F64" s="105">
        <f>DASAR!F53</f>
        <v>2.6994116191759739E-2</v>
      </c>
      <c r="G64" s="97">
        <f t="shared" si="1"/>
        <v>88690400</v>
      </c>
      <c r="H64" s="97">
        <f t="shared" si="2"/>
        <v>2394118.9626936479</v>
      </c>
      <c r="I64" s="98">
        <f t="shared" si="3"/>
        <v>4100000</v>
      </c>
    </row>
    <row r="65" spans="2:9" s="67" customFormat="1" ht="21" customHeight="1" x14ac:dyDescent="0.3">
      <c r="B65" s="61">
        <v>53</v>
      </c>
      <c r="C65" s="62" t="str">
        <f>DASAR!B54</f>
        <v>KULISUSU BARAT</v>
      </c>
      <c r="D65" s="62" t="str">
        <f>DASAR!D54</f>
        <v>LABULANDA</v>
      </c>
      <c r="E65" s="68">
        <f t="shared" si="0"/>
        <v>1705584.6153846155</v>
      </c>
      <c r="F65" s="104">
        <f>DASAR!F54</f>
        <v>2.7897849258492449E-4</v>
      </c>
      <c r="G65" s="94">
        <f t="shared" si="1"/>
        <v>88690400</v>
      </c>
      <c r="H65" s="94">
        <f t="shared" si="2"/>
        <v>24742.714098753986</v>
      </c>
      <c r="I65" s="95">
        <f t="shared" si="3"/>
        <v>1730000</v>
      </c>
    </row>
    <row r="66" spans="2:9" s="84" customFormat="1" ht="21" customHeight="1" x14ac:dyDescent="0.3">
      <c r="B66" s="78">
        <v>54</v>
      </c>
      <c r="C66" s="79" t="str">
        <f>DASAR!B55</f>
        <v>KULISUSU UTARA</v>
      </c>
      <c r="D66" s="79" t="str">
        <f>DASAR!D55</f>
        <v>KOROLABU</v>
      </c>
      <c r="E66" s="96">
        <f t="shared" si="0"/>
        <v>1705584.6153846155</v>
      </c>
      <c r="F66" s="105">
        <f>DASAR!F55</f>
        <v>8.1927327618219817E-3</v>
      </c>
      <c r="G66" s="97">
        <f t="shared" si="1"/>
        <v>88690400</v>
      </c>
      <c r="H66" s="97">
        <f t="shared" si="2"/>
        <v>726616.74573909631</v>
      </c>
      <c r="I66" s="98">
        <f t="shared" si="3"/>
        <v>2432000</v>
      </c>
    </row>
    <row r="67" spans="2:9" s="67" customFormat="1" ht="21" customHeight="1" x14ac:dyDescent="0.3">
      <c r="B67" s="61">
        <v>55</v>
      </c>
      <c r="C67" s="62" t="str">
        <f>DASAR!B56</f>
        <v>KULISUSU UTARA</v>
      </c>
      <c r="D67" s="62" t="str">
        <f>DASAR!D56</f>
        <v>TOROMBIA</v>
      </c>
      <c r="E67" s="68">
        <f t="shared" si="0"/>
        <v>1705584.6153846155</v>
      </c>
      <c r="F67" s="104">
        <f>DASAR!F56</f>
        <v>7.5585293418515493E-3</v>
      </c>
      <c r="G67" s="94">
        <f t="shared" si="1"/>
        <v>88690400</v>
      </c>
      <c r="H67" s="94">
        <f t="shared" si="2"/>
        <v>670368.99074055068</v>
      </c>
      <c r="I67" s="95">
        <f t="shared" si="3"/>
        <v>2376000</v>
      </c>
    </row>
    <row r="68" spans="2:9" s="84" customFormat="1" ht="21" customHeight="1" x14ac:dyDescent="0.3">
      <c r="B68" s="78">
        <v>56</v>
      </c>
      <c r="C68" s="79" t="str">
        <f>DASAR!B57</f>
        <v>KULISUSU UTARA</v>
      </c>
      <c r="D68" s="79" t="str">
        <f>DASAR!D57</f>
        <v>LAMOAHI</v>
      </c>
      <c r="E68" s="96">
        <f t="shared" si="0"/>
        <v>1705584.6153846155</v>
      </c>
      <c r="F68" s="105">
        <f>DASAR!F57</f>
        <v>6.6185344886803754E-3</v>
      </c>
      <c r="G68" s="97">
        <f t="shared" si="1"/>
        <v>88690400</v>
      </c>
      <c r="H68" s="97">
        <f t="shared" si="2"/>
        <v>587000.471214858</v>
      </c>
      <c r="I68" s="98">
        <f t="shared" si="3"/>
        <v>2293000</v>
      </c>
    </row>
    <row r="69" spans="2:9" s="67" customFormat="1" ht="21" customHeight="1" x14ac:dyDescent="0.3">
      <c r="B69" s="61">
        <v>57</v>
      </c>
      <c r="C69" s="62" t="str">
        <f>DASAR!B58</f>
        <v>KULISUSU UTARA</v>
      </c>
      <c r="D69" s="62" t="str">
        <f>DASAR!D58</f>
        <v>LANOSANGIA</v>
      </c>
      <c r="E69" s="68">
        <f t="shared" si="0"/>
        <v>1705584.6153846155</v>
      </c>
      <c r="F69" s="104">
        <f>DASAR!F58</f>
        <v>1.5005667321041145E-2</v>
      </c>
      <c r="G69" s="94">
        <f t="shared" si="1"/>
        <v>88690400</v>
      </c>
      <c r="H69" s="94">
        <f t="shared" si="2"/>
        <v>1330858.6369700676</v>
      </c>
      <c r="I69" s="95">
        <f t="shared" si="3"/>
        <v>3036000</v>
      </c>
    </row>
    <row r="70" spans="2:9" s="84" customFormat="1" ht="21" customHeight="1" x14ac:dyDescent="0.3">
      <c r="B70" s="78">
        <v>58</v>
      </c>
      <c r="C70" s="79" t="str">
        <f>DASAR!B59</f>
        <v>KULISUSU UTARA</v>
      </c>
      <c r="D70" s="79" t="str">
        <f>DASAR!D59</f>
        <v>PEBAOA</v>
      </c>
      <c r="E70" s="96">
        <f t="shared" si="0"/>
        <v>1705584.6153846155</v>
      </c>
      <c r="F70" s="105">
        <f>DASAR!F59</f>
        <v>1.2935044858166336E-2</v>
      </c>
      <c r="G70" s="97">
        <f t="shared" si="1"/>
        <v>88690400</v>
      </c>
      <c r="H70" s="97">
        <f t="shared" si="2"/>
        <v>1147214.3024887156</v>
      </c>
      <c r="I70" s="98">
        <f t="shared" si="3"/>
        <v>2853000</v>
      </c>
    </row>
    <row r="71" spans="2:9" s="67" customFormat="1" ht="21" customHeight="1" x14ac:dyDescent="0.3">
      <c r="B71" s="61">
        <v>59</v>
      </c>
      <c r="C71" s="62" t="str">
        <f>DASAR!B60</f>
        <v>KULISUSU UTARA</v>
      </c>
      <c r="D71" s="62" t="str">
        <f>DASAR!D60</f>
        <v>PETETEA'A</v>
      </c>
      <c r="E71" s="68">
        <f t="shared" si="0"/>
        <v>1705584.6153846155</v>
      </c>
      <c r="F71" s="104">
        <f>DASAR!F60</f>
        <v>2.8585898041852697E-2</v>
      </c>
      <c r="G71" s="94">
        <f t="shared" si="1"/>
        <v>88690400</v>
      </c>
      <c r="H71" s="94">
        <f t="shared" si="2"/>
        <v>2535294.7316911323</v>
      </c>
      <c r="I71" s="95">
        <f t="shared" si="3"/>
        <v>4241000</v>
      </c>
    </row>
    <row r="72" spans="2:9" s="84" customFormat="1" ht="21" customHeight="1" x14ac:dyDescent="0.3">
      <c r="B72" s="78">
        <v>60</v>
      </c>
      <c r="C72" s="79" t="str">
        <f>DASAR!B61</f>
        <v>KULISUSU UTARA</v>
      </c>
      <c r="D72" s="79" t="str">
        <f>DASAR!D61</f>
        <v>LELAMO</v>
      </c>
      <c r="E72" s="96">
        <f t="shared" si="0"/>
        <v>1705584.6153846155</v>
      </c>
      <c r="F72" s="105">
        <f>DASAR!F61</f>
        <v>1.0570783050190838E-2</v>
      </c>
      <c r="G72" s="97">
        <f t="shared" si="1"/>
        <v>88690400</v>
      </c>
      <c r="H72" s="97">
        <f t="shared" si="2"/>
        <v>937526.9770346455</v>
      </c>
      <c r="I72" s="98">
        <f t="shared" si="3"/>
        <v>2643000</v>
      </c>
    </row>
    <row r="73" spans="2:9" s="67" customFormat="1" ht="21" customHeight="1" x14ac:dyDescent="0.3">
      <c r="B73" s="61">
        <v>61</v>
      </c>
      <c r="C73" s="62" t="str">
        <f>DASAR!B62</f>
        <v>KULISUSU UTARA</v>
      </c>
      <c r="D73" s="62" t="str">
        <f>DASAR!D62</f>
        <v>WAODEBURI</v>
      </c>
      <c r="E73" s="68">
        <f t="shared" si="0"/>
        <v>1705584.6153846155</v>
      </c>
      <c r="F73" s="104">
        <f>DASAR!F62</f>
        <v>2.3702125527174961E-2</v>
      </c>
      <c r="G73" s="94">
        <f t="shared" si="1"/>
        <v>88690400</v>
      </c>
      <c r="H73" s="94">
        <f t="shared" si="2"/>
        <v>2102150.9938553581</v>
      </c>
      <c r="I73" s="95">
        <f t="shared" si="3"/>
        <v>3808000</v>
      </c>
    </row>
    <row r="74" spans="2:9" s="84" customFormat="1" ht="21" customHeight="1" x14ac:dyDescent="0.3">
      <c r="B74" s="78">
        <v>62</v>
      </c>
      <c r="C74" s="79" t="str">
        <f>DASAR!B63</f>
        <v>KULISUSU UTARA</v>
      </c>
      <c r="D74" s="79" t="str">
        <f>DASAR!D63</f>
        <v>ULU NAMBO</v>
      </c>
      <c r="E74" s="96">
        <f t="shared" si="0"/>
        <v>1705584.6153846155</v>
      </c>
      <c r="F74" s="105">
        <f>DASAR!F63</f>
        <v>1.364865081080696E-2</v>
      </c>
      <c r="G74" s="97">
        <f t="shared" si="1"/>
        <v>88690400</v>
      </c>
      <c r="H74" s="97">
        <f t="shared" si="2"/>
        <v>1210504.2998707935</v>
      </c>
      <c r="I74" s="98">
        <f t="shared" si="3"/>
        <v>2916000</v>
      </c>
    </row>
    <row r="75" spans="2:9" s="67" customFormat="1" ht="21" customHeight="1" x14ac:dyDescent="0.3">
      <c r="B75" s="61">
        <v>63</v>
      </c>
      <c r="C75" s="62" t="str">
        <f>DASAR!B64</f>
        <v>KULISUSU UTARA</v>
      </c>
      <c r="D75" s="62" t="str">
        <f>DASAR!D64</f>
        <v>BIRA</v>
      </c>
      <c r="E75" s="68">
        <f t="shared" si="0"/>
        <v>1705584.6153846155</v>
      </c>
      <c r="F75" s="104">
        <f>DASAR!F64</f>
        <v>7.5813999383855237E-3</v>
      </c>
      <c r="G75" s="94">
        <f t="shared" si="1"/>
        <v>88690400</v>
      </c>
      <c r="H75" s="94">
        <f t="shared" si="2"/>
        <v>672397.3930953875</v>
      </c>
      <c r="I75" s="95">
        <f t="shared" si="3"/>
        <v>2378000</v>
      </c>
    </row>
    <row r="76" spans="2:9" s="84" customFormat="1" ht="21" customHeight="1" x14ac:dyDescent="0.3">
      <c r="B76" s="78">
        <v>64</v>
      </c>
      <c r="C76" s="79" t="str">
        <f>DASAR!B65</f>
        <v>KULISUSU UTARA</v>
      </c>
      <c r="D76" s="79" t="str">
        <f>DASAR!D65</f>
        <v>E'ERINERE</v>
      </c>
      <c r="E76" s="96">
        <f t="shared" si="0"/>
        <v>1705584.6153846155</v>
      </c>
      <c r="F76" s="105">
        <f>DASAR!F65</f>
        <v>5.1130702483680388E-3</v>
      </c>
      <c r="G76" s="97">
        <f t="shared" si="1"/>
        <v>88690400</v>
      </c>
      <c r="H76" s="97">
        <f t="shared" si="2"/>
        <v>453480.24555586069</v>
      </c>
      <c r="I76" s="98">
        <f t="shared" si="3"/>
        <v>2159000</v>
      </c>
    </row>
    <row r="77" spans="2:9" s="67" customFormat="1" ht="21" customHeight="1" x14ac:dyDescent="0.3">
      <c r="B77" s="61">
        <v>65</v>
      </c>
      <c r="C77" s="62" t="str">
        <f>DASAR!B66</f>
        <v>KULISUSU UTARA</v>
      </c>
      <c r="D77" s="62" t="str">
        <f>DASAR!D66</f>
        <v>LABELETE</v>
      </c>
      <c r="E77" s="68">
        <f t="shared" si="0"/>
        <v>1705584.6153846155</v>
      </c>
      <c r="F77" s="104">
        <f>DASAR!F66</f>
        <v>1.3176586362377195E-2</v>
      </c>
      <c r="G77" s="94">
        <f t="shared" si="1"/>
        <v>88690400</v>
      </c>
      <c r="H77" s="94">
        <f t="shared" si="2"/>
        <v>1168636.7151137784</v>
      </c>
      <c r="I77" s="95">
        <f t="shared" si="3"/>
        <v>2874000</v>
      </c>
    </row>
    <row r="78" spans="2:9" s="84" customFormat="1" ht="21" customHeight="1" x14ac:dyDescent="0.3">
      <c r="B78" s="78">
        <v>66</v>
      </c>
      <c r="C78" s="79" t="str">
        <f>DASAR!B67</f>
        <v>KULISUSU UTARA</v>
      </c>
      <c r="D78" s="79" t="str">
        <f>DASAR!D67</f>
        <v>WAMBOULE</v>
      </c>
      <c r="E78" s="96">
        <f t="shared" ref="E78:E90" si="4">E$97</f>
        <v>1705584.6153846155</v>
      </c>
      <c r="F78" s="105">
        <f>DASAR!F67</f>
        <v>1.1354742758423037E-2</v>
      </c>
      <c r="G78" s="97">
        <f t="shared" ref="G78:G90" si="5">E$99</f>
        <v>88690400</v>
      </c>
      <c r="H78" s="97">
        <f t="shared" ref="H78:H90" si="6">F78*G78</f>
        <v>1007056.6771416425</v>
      </c>
      <c r="I78" s="98">
        <f t="shared" ref="I78:I90" si="7">ROUND(E78+H78,-3)</f>
        <v>2713000</v>
      </c>
    </row>
    <row r="79" spans="2:9" s="67" customFormat="1" ht="21" customHeight="1" x14ac:dyDescent="0.3">
      <c r="B79" s="61">
        <v>67</v>
      </c>
      <c r="C79" s="62" t="str">
        <f>DASAR!B68</f>
        <v>KULISUSU UTARA</v>
      </c>
      <c r="D79" s="62" t="str">
        <f>DASAR!D68</f>
        <v>WOWONGA JAYA</v>
      </c>
      <c r="E79" s="68">
        <f t="shared" si="4"/>
        <v>1705584.6153846155</v>
      </c>
      <c r="F79" s="104">
        <f>DASAR!F68</f>
        <v>6.4495443398981164E-3</v>
      </c>
      <c r="G79" s="94">
        <f t="shared" si="5"/>
        <v>88690400</v>
      </c>
      <c r="H79" s="94">
        <f t="shared" si="6"/>
        <v>572012.66732329992</v>
      </c>
      <c r="I79" s="95">
        <f t="shared" si="7"/>
        <v>2278000</v>
      </c>
    </row>
    <row r="80" spans="2:9" s="84" customFormat="1" ht="21" customHeight="1" x14ac:dyDescent="0.3">
      <c r="B80" s="78">
        <v>68</v>
      </c>
      <c r="C80" s="79" t="str">
        <f>DASAR!B69</f>
        <v>WAKORUMBA UTARA</v>
      </c>
      <c r="D80" s="79" t="str">
        <f>DASAR!D69</f>
        <v>LASIWA</v>
      </c>
      <c r="E80" s="96">
        <f t="shared" si="4"/>
        <v>1705584.6153846155</v>
      </c>
      <c r="F80" s="105">
        <f>DASAR!F69</f>
        <v>1.2246084807111342E-2</v>
      </c>
      <c r="G80" s="97">
        <f t="shared" si="5"/>
        <v>88690400</v>
      </c>
      <c r="H80" s="97">
        <f t="shared" si="6"/>
        <v>1086110.1599766277</v>
      </c>
      <c r="I80" s="98">
        <f t="shared" si="7"/>
        <v>2792000</v>
      </c>
    </row>
    <row r="81" spans="1:9" s="67" customFormat="1" ht="21" customHeight="1" x14ac:dyDescent="0.3">
      <c r="B81" s="61">
        <v>69</v>
      </c>
      <c r="C81" s="62" t="str">
        <f>DASAR!B70</f>
        <v>WAKORUMBA UTARA</v>
      </c>
      <c r="D81" s="62" t="str">
        <f>DASAR!D70</f>
        <v>LAEA</v>
      </c>
      <c r="E81" s="68">
        <f t="shared" si="4"/>
        <v>1705584.6153846155</v>
      </c>
      <c r="F81" s="104">
        <f>DASAR!F70</f>
        <v>1.7351348158460372E-2</v>
      </c>
      <c r="G81" s="94">
        <f t="shared" si="5"/>
        <v>88690400</v>
      </c>
      <c r="H81" s="94">
        <f t="shared" si="6"/>
        <v>1538898.0087131138</v>
      </c>
      <c r="I81" s="95">
        <f t="shared" si="7"/>
        <v>3244000</v>
      </c>
    </row>
    <row r="82" spans="1:9" s="84" customFormat="1" ht="21" customHeight="1" x14ac:dyDescent="0.3">
      <c r="B82" s="78">
        <v>70</v>
      </c>
      <c r="C82" s="79" t="str">
        <f>DASAR!B71</f>
        <v>WAKORUMBA UTARA</v>
      </c>
      <c r="D82" s="79" t="str">
        <f>DASAR!D71</f>
        <v>MATALAGI</v>
      </c>
      <c r="E82" s="96">
        <f t="shared" si="4"/>
        <v>1705584.6153846155</v>
      </c>
      <c r="F82" s="105">
        <f>DASAR!F71</f>
        <v>3.1025117174231336E-2</v>
      </c>
      <c r="G82" s="97">
        <f t="shared" si="5"/>
        <v>88690400</v>
      </c>
      <c r="H82" s="97">
        <f t="shared" si="6"/>
        <v>2751630.0522294468</v>
      </c>
      <c r="I82" s="98">
        <f t="shared" si="7"/>
        <v>4457000</v>
      </c>
    </row>
    <row r="83" spans="1:9" s="67" customFormat="1" ht="21" customHeight="1" x14ac:dyDescent="0.3">
      <c r="B83" s="61">
        <v>71</v>
      </c>
      <c r="C83" s="62" t="str">
        <f>DASAR!B72</f>
        <v>WAKORUMBA UTARA</v>
      </c>
      <c r="D83" s="62" t="str">
        <f>DASAR!D72</f>
        <v>WANTULASI</v>
      </c>
      <c r="E83" s="68">
        <f t="shared" si="4"/>
        <v>1705584.6153846155</v>
      </c>
      <c r="F83" s="104">
        <f>DASAR!F72</f>
        <v>3.6261183557093492E-2</v>
      </c>
      <c r="G83" s="94">
        <f t="shared" si="5"/>
        <v>88690400</v>
      </c>
      <c r="H83" s="94">
        <f t="shared" si="6"/>
        <v>3216018.8741520448</v>
      </c>
      <c r="I83" s="95">
        <f t="shared" si="7"/>
        <v>4922000</v>
      </c>
    </row>
    <row r="84" spans="1:9" s="84" customFormat="1" ht="21" customHeight="1" x14ac:dyDescent="0.3">
      <c r="B84" s="78">
        <v>72</v>
      </c>
      <c r="C84" s="79" t="str">
        <f>DASAR!B73</f>
        <v>WAKORUMBA UTARA</v>
      </c>
      <c r="D84" s="79" t="str">
        <f>DASAR!D73</f>
        <v>LABUAN BAJO</v>
      </c>
      <c r="E84" s="96">
        <f t="shared" si="4"/>
        <v>1705584.6153846155</v>
      </c>
      <c r="F84" s="105">
        <f>DASAR!F73</f>
        <v>1.3809220068178326E-2</v>
      </c>
      <c r="G84" s="97">
        <f t="shared" si="5"/>
        <v>88690400</v>
      </c>
      <c r="H84" s="97">
        <f t="shared" si="6"/>
        <v>1224745.251534763</v>
      </c>
      <c r="I84" s="98">
        <f t="shared" si="7"/>
        <v>2930000</v>
      </c>
    </row>
    <row r="85" spans="1:9" s="67" customFormat="1" ht="21" customHeight="1" x14ac:dyDescent="0.3">
      <c r="B85" s="61">
        <v>73</v>
      </c>
      <c r="C85" s="62" t="str">
        <f>DASAR!B74</f>
        <v>WAKORUMBA UTARA</v>
      </c>
      <c r="D85" s="62" t="str">
        <f>DASAR!D74</f>
        <v>LABARAGA</v>
      </c>
      <c r="E85" s="68">
        <f t="shared" si="4"/>
        <v>1705584.6153846155</v>
      </c>
      <c r="F85" s="104">
        <f>DASAR!F74</f>
        <v>9.6062617604062133E-3</v>
      </c>
      <c r="G85" s="94">
        <f t="shared" si="5"/>
        <v>88690400</v>
      </c>
      <c r="H85" s="94">
        <f t="shared" si="6"/>
        <v>851983.19803513121</v>
      </c>
      <c r="I85" s="95">
        <f t="shared" si="7"/>
        <v>2558000</v>
      </c>
    </row>
    <row r="86" spans="1:9" s="84" customFormat="1" ht="21" customHeight="1" x14ac:dyDescent="0.3">
      <c r="B86" s="78">
        <v>74</v>
      </c>
      <c r="C86" s="79" t="str">
        <f>DASAR!B75</f>
        <v>WAKORUMBA UTARA</v>
      </c>
      <c r="D86" s="79" t="str">
        <f>DASAR!D75</f>
        <v>WAMORAPA</v>
      </c>
      <c r="E86" s="96">
        <f t="shared" si="4"/>
        <v>1705584.6153846155</v>
      </c>
      <c r="F86" s="105">
        <f>DASAR!F75</f>
        <v>6.6063657310493247E-3</v>
      </c>
      <c r="G86" s="97">
        <f t="shared" si="5"/>
        <v>88690400</v>
      </c>
      <c r="H86" s="97">
        <f t="shared" si="6"/>
        <v>585921.219233057</v>
      </c>
      <c r="I86" s="98">
        <f t="shared" si="7"/>
        <v>2292000</v>
      </c>
    </row>
    <row r="87" spans="1:9" s="67" customFormat="1" ht="21" customHeight="1" x14ac:dyDescent="0.3">
      <c r="B87" s="61">
        <v>75</v>
      </c>
      <c r="C87" s="62" t="str">
        <f>DASAR!B76</f>
        <v>WAKORUMBA UTARA</v>
      </c>
      <c r="D87" s="62" t="str">
        <f>DASAR!D76</f>
        <v>SUMAMPENO</v>
      </c>
      <c r="E87" s="68">
        <f t="shared" si="4"/>
        <v>1705584.6153846155</v>
      </c>
      <c r="F87" s="104">
        <f>DASAR!F76</f>
        <v>8.1748157942506013E-3</v>
      </c>
      <c r="G87" s="94">
        <f t="shared" si="5"/>
        <v>88690400</v>
      </c>
      <c r="H87" s="94">
        <f t="shared" si="6"/>
        <v>725027.68271840352</v>
      </c>
      <c r="I87" s="95">
        <f t="shared" si="7"/>
        <v>2431000</v>
      </c>
    </row>
    <row r="88" spans="1:9" s="84" customFormat="1" ht="21" customHeight="1" x14ac:dyDescent="0.3">
      <c r="B88" s="78">
        <v>76</v>
      </c>
      <c r="C88" s="79" t="str">
        <f>DASAR!B77</f>
        <v>WAKORUMBA UTARA</v>
      </c>
      <c r="D88" s="79" t="str">
        <f>DASAR!D77</f>
        <v>OENGKAPALA</v>
      </c>
      <c r="E88" s="96">
        <f t="shared" si="4"/>
        <v>1705584.6153846155</v>
      </c>
      <c r="F88" s="105">
        <f>DASAR!F77</f>
        <v>1.175752863601082E-2</v>
      </c>
      <c r="G88" s="97">
        <f t="shared" si="5"/>
        <v>88690400</v>
      </c>
      <c r="H88" s="97">
        <f t="shared" si="6"/>
        <v>1042779.9177392541</v>
      </c>
      <c r="I88" s="98">
        <f t="shared" si="7"/>
        <v>2748000</v>
      </c>
    </row>
    <row r="89" spans="1:9" s="67" customFormat="1" ht="21" customHeight="1" x14ac:dyDescent="0.3">
      <c r="B89" s="61">
        <v>77</v>
      </c>
      <c r="C89" s="62" t="str">
        <f>DASAR!B78</f>
        <v>WAKORUMBA UTARA</v>
      </c>
      <c r="D89" s="62" t="str">
        <f>DASAR!D78</f>
        <v>LABUKO</v>
      </c>
      <c r="E89" s="68">
        <f t="shared" si="4"/>
        <v>1705584.6153846155</v>
      </c>
      <c r="F89" s="104">
        <f>DASAR!F78</f>
        <v>7.7242355930265249E-3</v>
      </c>
      <c r="G89" s="94">
        <f t="shared" si="5"/>
        <v>88690400</v>
      </c>
      <c r="H89" s="94">
        <f t="shared" si="6"/>
        <v>685065.54443975969</v>
      </c>
      <c r="I89" s="95">
        <f t="shared" si="7"/>
        <v>2391000</v>
      </c>
    </row>
    <row r="90" spans="1:9" s="84" customFormat="1" ht="21" customHeight="1" x14ac:dyDescent="0.3">
      <c r="B90" s="78">
        <v>78</v>
      </c>
      <c r="C90" s="79" t="str">
        <f>DASAR!B79</f>
        <v>WAKORUMBA UTARA</v>
      </c>
      <c r="D90" s="79" t="str">
        <f>DASAR!D79</f>
        <v>LABA JAYA</v>
      </c>
      <c r="E90" s="96">
        <f t="shared" si="4"/>
        <v>1705584.6153846155</v>
      </c>
      <c r="F90" s="105">
        <f>DASAR!F79</f>
        <v>2.2731367054540631E-2</v>
      </c>
      <c r="G90" s="97">
        <f t="shared" si="5"/>
        <v>88690400</v>
      </c>
      <c r="H90" s="97">
        <f t="shared" si="6"/>
        <v>2016054.0366140304</v>
      </c>
      <c r="I90" s="98">
        <f t="shared" si="7"/>
        <v>3722000</v>
      </c>
    </row>
    <row r="91" spans="1:9" s="67" customFormat="1" ht="21" customHeight="1" x14ac:dyDescent="0.3">
      <c r="B91" s="114"/>
      <c r="C91" s="115"/>
      <c r="D91" s="115"/>
      <c r="E91" s="116"/>
      <c r="F91" s="117"/>
      <c r="G91" s="114"/>
      <c r="H91" s="114"/>
      <c r="I91" s="118"/>
    </row>
    <row r="92" spans="1:9" s="103" customFormat="1" ht="28.5" customHeight="1" x14ac:dyDescent="0.25">
      <c r="A92" s="101"/>
      <c r="B92" s="255" t="s">
        <v>27</v>
      </c>
      <c r="C92" s="255"/>
      <c r="D92" s="255"/>
      <c r="E92" s="102">
        <f>SUM(E13:E90)</f>
        <v>133035599.99999975</v>
      </c>
      <c r="F92" s="100">
        <f>DASAR!F81</f>
        <v>0.99999999999999978</v>
      </c>
      <c r="G92" s="119"/>
      <c r="H92" s="102">
        <f t="shared" ref="H92:I92" si="8">SUM(H13:H90)</f>
        <v>88690400</v>
      </c>
      <c r="I92" s="102">
        <f t="shared" si="8"/>
        <v>221726000</v>
      </c>
    </row>
    <row r="93" spans="1:9" s="42" customFormat="1" x14ac:dyDescent="0.3"/>
    <row r="94" spans="1:9" s="42" customFormat="1" x14ac:dyDescent="0.3">
      <c r="C94" s="256" t="s">
        <v>28</v>
      </c>
      <c r="D94" s="256"/>
      <c r="E94" s="256"/>
      <c r="F94" s="131"/>
      <c r="G94" s="260"/>
      <c r="H94" s="260"/>
    </row>
    <row r="95" spans="1:9" s="42" customFormat="1" x14ac:dyDescent="0.3">
      <c r="C95" s="258" t="s">
        <v>147</v>
      </c>
      <c r="D95" s="258"/>
      <c r="E95" s="214">
        <v>221726000</v>
      </c>
      <c r="F95" s="132"/>
      <c r="G95" s="57"/>
      <c r="H95" s="99"/>
    </row>
    <row r="96" spans="1:9" s="42" customFormat="1" x14ac:dyDescent="0.3">
      <c r="C96" s="258" t="s">
        <v>148</v>
      </c>
      <c r="D96" s="258"/>
      <c r="E96" s="215">
        <f>I92</f>
        <v>221726000</v>
      </c>
      <c r="F96" s="132"/>
      <c r="G96" s="259"/>
      <c r="H96" s="259"/>
    </row>
    <row r="97" spans="2:8" s="42" customFormat="1" ht="21.75" x14ac:dyDescent="0.3">
      <c r="C97" s="258" t="s">
        <v>48</v>
      </c>
      <c r="D97" s="258"/>
      <c r="E97" s="214">
        <f>(E95*60%)/78</f>
        <v>1705584.6153846155</v>
      </c>
      <c r="F97" s="132"/>
      <c r="G97" s="257" t="s">
        <v>170</v>
      </c>
      <c r="H97" s="257"/>
    </row>
    <row r="98" spans="2:8" s="42" customFormat="1" ht="21.75" x14ac:dyDescent="0.3">
      <c r="C98" s="258" t="s">
        <v>56</v>
      </c>
      <c r="D98" s="258"/>
      <c r="E98" s="215">
        <f>E90</f>
        <v>1705584.6153846155</v>
      </c>
      <c r="F98" s="132"/>
      <c r="G98" s="257"/>
      <c r="H98" s="257"/>
    </row>
    <row r="99" spans="2:8" s="42" customFormat="1" ht="26.25" customHeight="1" x14ac:dyDescent="0.3">
      <c r="C99" s="258" t="s">
        <v>49</v>
      </c>
      <c r="D99" s="258"/>
      <c r="E99" s="216">
        <f>E95*40%</f>
        <v>88690400</v>
      </c>
      <c r="F99" s="132"/>
      <c r="G99" s="257"/>
      <c r="H99" s="257"/>
    </row>
    <row r="100" spans="2:8" s="42" customFormat="1" ht="26.25" customHeight="1" x14ac:dyDescent="0.3">
      <c r="C100" s="258" t="s">
        <v>57</v>
      </c>
      <c r="D100" s="258"/>
      <c r="E100" s="217">
        <f>H92</f>
        <v>88690400</v>
      </c>
      <c r="F100" s="132"/>
      <c r="G100" s="257"/>
      <c r="H100" s="257"/>
    </row>
    <row r="101" spans="2:8" s="42" customFormat="1" ht="21.75" x14ac:dyDescent="0.3">
      <c r="C101" s="258" t="s">
        <v>32</v>
      </c>
      <c r="D101" s="258"/>
      <c r="E101" s="217">
        <v>78</v>
      </c>
      <c r="F101" s="132"/>
      <c r="G101" s="257" t="s">
        <v>171</v>
      </c>
      <c r="H101" s="257"/>
    </row>
    <row r="102" spans="2:8" s="35" customFormat="1" x14ac:dyDescent="0.25">
      <c r="B102" s="36"/>
      <c r="C102" s="133"/>
      <c r="D102" s="218"/>
      <c r="E102" s="218"/>
      <c r="F102" s="134"/>
    </row>
    <row r="103" spans="2:8" s="35" customFormat="1" ht="15.75" x14ac:dyDescent="0.3">
      <c r="B103" s="36"/>
      <c r="C103" s="133"/>
      <c r="D103" s="219"/>
      <c r="E103" s="135"/>
      <c r="F103" s="134"/>
      <c r="G103" s="259"/>
      <c r="H103" s="259"/>
    </row>
    <row r="104" spans="2:8" s="35" customFormat="1" ht="15.75" x14ac:dyDescent="0.3">
      <c r="B104" s="36"/>
      <c r="C104" s="137"/>
      <c r="D104" s="138"/>
      <c r="E104" s="139">
        <f>E95-I92</f>
        <v>0</v>
      </c>
      <c r="F104" s="134"/>
      <c r="G104" s="259"/>
      <c r="H104" s="259"/>
    </row>
    <row r="105" spans="2:8" s="35" customFormat="1" ht="15.75" x14ac:dyDescent="0.3">
      <c r="B105" s="36"/>
      <c r="C105" s="133"/>
      <c r="D105" s="136"/>
      <c r="E105" s="135"/>
      <c r="F105" s="134"/>
      <c r="G105" s="259"/>
      <c r="H105" s="259"/>
    </row>
    <row r="106" spans="2:8" s="35" customFormat="1" x14ac:dyDescent="0.25">
      <c r="B106" s="36"/>
      <c r="C106" s="36"/>
      <c r="D106" s="38"/>
      <c r="E106" s="41"/>
    </row>
    <row r="107" spans="2:8" s="35" customFormat="1" x14ac:dyDescent="0.25"/>
    <row r="108" spans="2:8" s="35" customFormat="1" x14ac:dyDescent="0.25"/>
    <row r="109" spans="2:8" s="35" customFormat="1" x14ac:dyDescent="0.25"/>
    <row r="110" spans="2:8" s="35" customFormat="1" x14ac:dyDescent="0.25"/>
  </sheetData>
  <autoFilter ref="A12:I12"/>
  <mergeCells count="28">
    <mergeCell ref="G101:H101"/>
    <mergeCell ref="G103:H103"/>
    <mergeCell ref="G104:H104"/>
    <mergeCell ref="G105:H105"/>
    <mergeCell ref="B1:I1"/>
    <mergeCell ref="B7:I7"/>
    <mergeCell ref="B9:B11"/>
    <mergeCell ref="C9:C11"/>
    <mergeCell ref="D9:D11"/>
    <mergeCell ref="E9:E11"/>
    <mergeCell ref="F9:H10"/>
    <mergeCell ref="I9:I11"/>
    <mergeCell ref="C98:D98"/>
    <mergeCell ref="C99:D99"/>
    <mergeCell ref="C100:D100"/>
    <mergeCell ref="C101:D101"/>
    <mergeCell ref="E5:H6"/>
    <mergeCell ref="B92:D92"/>
    <mergeCell ref="C94:E94"/>
    <mergeCell ref="G94:H94"/>
    <mergeCell ref="C95:D95"/>
    <mergeCell ref="G99:H99"/>
    <mergeCell ref="G100:H100"/>
    <mergeCell ref="C96:D96"/>
    <mergeCell ref="C97:D97"/>
    <mergeCell ref="G96:H96"/>
    <mergeCell ref="G97:H97"/>
    <mergeCell ref="G98:H98"/>
  </mergeCells>
  <pageMargins left="0.28999999999999998" right="0.15748031496062992" top="0.53" bottom="1" header="0.19685039370078741" footer="0.19685039370078741"/>
  <pageSetup paperSize="5" scale="61" orientation="portrait" horizontalDpi="4294967293" r:id="rId1"/>
  <rowBreaks count="1" manualBreakCount="1">
    <brk id="65" min="1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110"/>
  <sheetViews>
    <sheetView view="pageBreakPreview" zoomScale="60" workbookViewId="0">
      <pane xSplit="2" ySplit="12" topLeftCell="C89" activePane="bottomRight" state="frozen"/>
      <selection pane="topRight" activeCell="C1" sqref="C1"/>
      <selection pane="bottomLeft" activeCell="A11" sqref="A11"/>
      <selection pane="bottomRight" activeCell="E95" sqref="E95"/>
    </sheetView>
  </sheetViews>
  <sheetFormatPr defaultColWidth="8.85546875" defaultRowHeight="15" x14ac:dyDescent="0.25"/>
  <cols>
    <col min="1" max="1" width="4.28515625" customWidth="1"/>
    <col min="2" max="2" width="7.28515625" customWidth="1"/>
    <col min="3" max="3" width="26.42578125" customWidth="1"/>
    <col min="4" max="4" width="25.7109375" customWidth="1"/>
    <col min="5" max="8" width="22.7109375" customWidth="1"/>
    <col min="9" max="9" width="20.140625" customWidth="1"/>
    <col min="10" max="10" width="10.42578125" customWidth="1"/>
  </cols>
  <sheetData>
    <row r="1" spans="2:9" s="1" customFormat="1" ht="18.75" x14ac:dyDescent="0.3">
      <c r="B1" s="247"/>
      <c r="C1" s="247"/>
      <c r="D1" s="247"/>
      <c r="E1" s="247"/>
      <c r="F1" s="247"/>
      <c r="G1" s="247"/>
      <c r="H1" s="247"/>
      <c r="I1" s="247"/>
    </row>
    <row r="2" spans="2:9" s="1" customFormat="1" ht="18" x14ac:dyDescent="0.25">
      <c r="B2" s="50"/>
      <c r="C2" s="53" t="s">
        <v>140</v>
      </c>
      <c r="D2" s="53" t="s">
        <v>146</v>
      </c>
      <c r="E2" s="52"/>
      <c r="F2" s="52"/>
      <c r="G2" s="52"/>
      <c r="H2" s="52"/>
      <c r="I2" s="52"/>
    </row>
    <row r="3" spans="2:9" s="1" customFormat="1" ht="18" x14ac:dyDescent="0.25">
      <c r="B3" s="50"/>
      <c r="D3" s="53" t="s">
        <v>143</v>
      </c>
      <c r="E3" s="53" t="s">
        <v>141</v>
      </c>
      <c r="F3" s="52"/>
      <c r="G3" s="52"/>
      <c r="H3" s="52"/>
      <c r="I3" s="52"/>
    </row>
    <row r="4" spans="2:9" s="1" customFormat="1" ht="18" x14ac:dyDescent="0.25">
      <c r="B4" s="50"/>
      <c r="D4" s="53" t="s">
        <v>144</v>
      </c>
      <c r="E4" s="53" t="s">
        <v>141</v>
      </c>
      <c r="F4" s="52"/>
      <c r="G4" s="52"/>
      <c r="H4" s="52"/>
      <c r="I4" s="52"/>
    </row>
    <row r="5" spans="2:9" ht="18" x14ac:dyDescent="0.25">
      <c r="B5" s="51"/>
      <c r="D5" s="53" t="s">
        <v>145</v>
      </c>
      <c r="E5" s="54" t="s">
        <v>142</v>
      </c>
      <c r="F5" s="52"/>
      <c r="G5" s="52"/>
      <c r="H5" s="52"/>
      <c r="I5" s="52"/>
    </row>
    <row r="6" spans="2:9" ht="18" x14ac:dyDescent="0.25">
      <c r="B6" s="270"/>
      <c r="C6" s="270"/>
      <c r="D6" s="270"/>
      <c r="E6" s="270"/>
      <c r="F6" s="270"/>
      <c r="G6" s="270"/>
      <c r="H6" s="270"/>
      <c r="I6" s="270"/>
    </row>
    <row r="7" spans="2:9" ht="18" x14ac:dyDescent="0.25">
      <c r="B7" s="248"/>
      <c r="C7" s="248"/>
      <c r="D7" s="248"/>
      <c r="E7" s="248"/>
      <c r="F7" s="248"/>
      <c r="G7" s="248"/>
      <c r="H7" s="248"/>
      <c r="I7" s="248"/>
    </row>
    <row r="8" spans="2:9" ht="18" x14ac:dyDescent="0.25">
      <c r="B8" s="51"/>
      <c r="C8" s="51"/>
      <c r="D8" s="51"/>
      <c r="E8" s="51"/>
      <c r="F8" s="51"/>
      <c r="G8" s="51"/>
      <c r="H8" s="51"/>
      <c r="I8" s="51"/>
    </row>
    <row r="9" spans="2:9" ht="15" customHeight="1" x14ac:dyDescent="0.25">
      <c r="B9" s="261" t="s">
        <v>1</v>
      </c>
      <c r="C9" s="261" t="s">
        <v>40</v>
      </c>
      <c r="D9" s="261" t="s">
        <v>2</v>
      </c>
      <c r="E9" s="271" t="s">
        <v>162</v>
      </c>
      <c r="F9" s="262" t="s">
        <v>167</v>
      </c>
      <c r="G9" s="264"/>
      <c r="H9" s="264"/>
      <c r="I9" s="261" t="s">
        <v>166</v>
      </c>
    </row>
    <row r="10" spans="2:9" ht="15" customHeight="1" x14ac:dyDescent="0.25">
      <c r="B10" s="261"/>
      <c r="C10" s="261"/>
      <c r="D10" s="261"/>
      <c r="E10" s="272"/>
      <c r="F10" s="265"/>
      <c r="G10" s="267"/>
      <c r="H10" s="267"/>
      <c r="I10" s="261"/>
    </row>
    <row r="11" spans="2:9" ht="72" customHeight="1" x14ac:dyDescent="0.25">
      <c r="B11" s="261"/>
      <c r="C11" s="261"/>
      <c r="D11" s="261"/>
      <c r="E11" s="273"/>
      <c r="F11" s="223" t="s">
        <v>163</v>
      </c>
      <c r="G11" s="223" t="s">
        <v>164</v>
      </c>
      <c r="H11" s="75" t="s">
        <v>165</v>
      </c>
      <c r="I11" s="261"/>
    </row>
    <row r="12" spans="2:9" s="55" customFormat="1" ht="30" customHeight="1" x14ac:dyDescent="0.25">
      <c r="B12" s="76" t="s">
        <v>16</v>
      </c>
      <c r="C12" s="76" t="s">
        <v>17</v>
      </c>
      <c r="D12" s="76" t="s">
        <v>18</v>
      </c>
      <c r="E12" s="76" t="s">
        <v>19</v>
      </c>
      <c r="F12" s="76" t="s">
        <v>20</v>
      </c>
      <c r="G12" s="76" t="s">
        <v>37</v>
      </c>
      <c r="H12" s="76" t="s">
        <v>168</v>
      </c>
      <c r="I12" s="77" t="s">
        <v>169</v>
      </c>
    </row>
    <row r="13" spans="2:9" s="67" customFormat="1" ht="21" customHeight="1" x14ac:dyDescent="0.3">
      <c r="B13" s="61">
        <v>1</v>
      </c>
      <c r="C13" s="62" t="str">
        <f>DASAR!B2</f>
        <v>KULISUSU</v>
      </c>
      <c r="D13" s="62" t="str">
        <f>DASAR!D2</f>
        <v>TRIWACUWACU</v>
      </c>
      <c r="E13" s="63">
        <f>E$97</f>
        <v>1705584.6153846155</v>
      </c>
      <c r="F13" s="64">
        <f>DASAR!F2</f>
        <v>2.5880369260450228E-2</v>
      </c>
      <c r="G13" s="65">
        <f t="shared" ref="G13:G44" si="0">E$99</f>
        <v>88690400</v>
      </c>
      <c r="H13" s="65">
        <f>F13*G13</f>
        <v>2295340.3018570347</v>
      </c>
      <c r="I13" s="66">
        <f t="shared" ref="I13:I57" si="1">ROUND(E13+H13,-3)</f>
        <v>4001000</v>
      </c>
    </row>
    <row r="14" spans="2:9" s="84" customFormat="1" ht="21" customHeight="1" x14ac:dyDescent="0.3">
      <c r="B14" s="78">
        <v>2</v>
      </c>
      <c r="C14" s="79" t="str">
        <f>DASAR!B3</f>
        <v>KULISUSU</v>
      </c>
      <c r="D14" s="79" t="str">
        <f>DASAR!D3</f>
        <v>WACULAEA</v>
      </c>
      <c r="E14" s="80">
        <f t="shared" ref="E14:E77" si="2">E$97</f>
        <v>1705584.6153846155</v>
      </c>
      <c r="F14" s="81">
        <f>DASAR!F3</f>
        <v>5.9135800226294997E-3</v>
      </c>
      <c r="G14" s="82">
        <f t="shared" si="0"/>
        <v>88690400</v>
      </c>
      <c r="H14" s="82">
        <f t="shared" ref="H14:H77" si="3">F14*G14</f>
        <v>524477.77763901942</v>
      </c>
      <c r="I14" s="83">
        <f t="shared" si="1"/>
        <v>2230000</v>
      </c>
    </row>
    <row r="15" spans="2:9" s="67" customFormat="1" ht="21" customHeight="1" x14ac:dyDescent="0.3">
      <c r="B15" s="61">
        <v>3</v>
      </c>
      <c r="C15" s="62" t="str">
        <f>DASAR!B4</f>
        <v>KULISUSU</v>
      </c>
      <c r="D15" s="62" t="str">
        <f>DASAR!D4</f>
        <v>E'ELAHAJI</v>
      </c>
      <c r="E15" s="63">
        <f t="shared" si="2"/>
        <v>1705584.6153846155</v>
      </c>
      <c r="F15" s="64">
        <f>DASAR!F4</f>
        <v>3.6709843983997237E-2</v>
      </c>
      <c r="G15" s="65">
        <f t="shared" si="0"/>
        <v>88690400</v>
      </c>
      <c r="H15" s="65">
        <f t="shared" si="3"/>
        <v>3255810.7468783087</v>
      </c>
      <c r="I15" s="66">
        <f t="shared" si="1"/>
        <v>4961000</v>
      </c>
    </row>
    <row r="16" spans="2:9" s="84" customFormat="1" ht="21" customHeight="1" x14ac:dyDescent="0.3">
      <c r="B16" s="78">
        <v>4</v>
      </c>
      <c r="C16" s="79" t="str">
        <f>DASAR!B5</f>
        <v>KULISUSU</v>
      </c>
      <c r="D16" s="79" t="str">
        <f>DASAR!D5</f>
        <v>TOMOAHI</v>
      </c>
      <c r="E16" s="80">
        <f t="shared" si="2"/>
        <v>1705584.6153846155</v>
      </c>
      <c r="F16" s="81">
        <f>DASAR!F5</f>
        <v>2.9421308257520838E-2</v>
      </c>
      <c r="G16" s="82">
        <f t="shared" si="0"/>
        <v>88690400</v>
      </c>
      <c r="H16" s="82">
        <f t="shared" si="3"/>
        <v>2609387.5978828263</v>
      </c>
      <c r="I16" s="83">
        <f t="shared" si="1"/>
        <v>4315000</v>
      </c>
    </row>
    <row r="17" spans="2:9" s="67" customFormat="1" ht="21" customHeight="1" x14ac:dyDescent="0.3">
      <c r="B17" s="61">
        <v>5</v>
      </c>
      <c r="C17" s="62" t="str">
        <f>DASAR!B6</f>
        <v>KULISUSU</v>
      </c>
      <c r="D17" s="62" t="str">
        <f>DASAR!D6</f>
        <v>KALIBU</v>
      </c>
      <c r="E17" s="63">
        <f t="shared" si="2"/>
        <v>1705584.6153846155</v>
      </c>
      <c r="F17" s="64">
        <f>DASAR!F6</f>
        <v>1.6129368740613683E-2</v>
      </c>
      <c r="G17" s="65">
        <f t="shared" si="0"/>
        <v>88690400</v>
      </c>
      <c r="H17" s="65">
        <f t="shared" si="3"/>
        <v>1430520.1653525238</v>
      </c>
      <c r="I17" s="66">
        <f t="shared" si="1"/>
        <v>3136000</v>
      </c>
    </row>
    <row r="18" spans="2:9" s="84" customFormat="1" ht="21" customHeight="1" x14ac:dyDescent="0.3">
      <c r="B18" s="78">
        <v>6</v>
      </c>
      <c r="C18" s="79" t="str">
        <f>DASAR!B7</f>
        <v>KULISUSU</v>
      </c>
      <c r="D18" s="79" t="str">
        <f>DASAR!D7</f>
        <v>JAMPAKA</v>
      </c>
      <c r="E18" s="80">
        <f t="shared" si="2"/>
        <v>1705584.6153846155</v>
      </c>
      <c r="F18" s="81">
        <f>DASAR!F7</f>
        <v>2.6832880153148317E-2</v>
      </c>
      <c r="G18" s="82">
        <f t="shared" si="0"/>
        <v>88690400</v>
      </c>
      <c r="H18" s="82">
        <f t="shared" si="3"/>
        <v>2379818.8739347854</v>
      </c>
      <c r="I18" s="83">
        <f t="shared" si="1"/>
        <v>4085000</v>
      </c>
    </row>
    <row r="19" spans="2:9" s="67" customFormat="1" ht="21" customHeight="1" x14ac:dyDescent="0.3">
      <c r="B19" s="61">
        <v>7</v>
      </c>
      <c r="C19" s="62" t="str">
        <f>DASAR!B8</f>
        <v>KULISUSU</v>
      </c>
      <c r="D19" s="62" t="str">
        <f>DASAR!D8</f>
        <v>LOJI</v>
      </c>
      <c r="E19" s="63">
        <f t="shared" si="2"/>
        <v>1705584.6153846155</v>
      </c>
      <c r="F19" s="64">
        <f>DASAR!F8</f>
        <v>1.6340660602567263E-2</v>
      </c>
      <c r="G19" s="65">
        <f t="shared" si="0"/>
        <v>88690400</v>
      </c>
      <c r="H19" s="65">
        <f t="shared" si="3"/>
        <v>1449259.7251059315</v>
      </c>
      <c r="I19" s="66">
        <f t="shared" si="1"/>
        <v>3155000</v>
      </c>
    </row>
    <row r="20" spans="2:9" s="84" customFormat="1" ht="21" customHeight="1" x14ac:dyDescent="0.3">
      <c r="B20" s="78">
        <v>8</v>
      </c>
      <c r="C20" s="79" t="str">
        <f>DASAR!B9</f>
        <v>KULISUSU</v>
      </c>
      <c r="D20" s="79" t="str">
        <f>DASAR!D9</f>
        <v>LINSOWU</v>
      </c>
      <c r="E20" s="80">
        <f t="shared" si="2"/>
        <v>1705584.6153846155</v>
      </c>
      <c r="F20" s="81">
        <f>DASAR!F9</f>
        <v>1.8371267856273115E-2</v>
      </c>
      <c r="G20" s="82">
        <f t="shared" si="0"/>
        <v>88690400</v>
      </c>
      <c r="H20" s="82">
        <f t="shared" si="3"/>
        <v>1629355.094680005</v>
      </c>
      <c r="I20" s="83">
        <f t="shared" si="1"/>
        <v>3335000</v>
      </c>
    </row>
    <row r="21" spans="2:9" s="67" customFormat="1" ht="21" customHeight="1" x14ac:dyDescent="0.3">
      <c r="B21" s="61">
        <v>9</v>
      </c>
      <c r="C21" s="62" t="str">
        <f>DASAR!B10</f>
        <v>KULISUSU</v>
      </c>
      <c r="D21" s="62" t="str">
        <f>DASAR!D10</f>
        <v>ROMBO</v>
      </c>
      <c r="E21" s="63">
        <f t="shared" si="2"/>
        <v>1705584.6153846155</v>
      </c>
      <c r="F21" s="64">
        <f>DASAR!F10</f>
        <v>1.3891275834532911E-5</v>
      </c>
      <c r="G21" s="65">
        <f t="shared" si="0"/>
        <v>88690400</v>
      </c>
      <c r="H21" s="65">
        <f t="shared" si="3"/>
        <v>1232.0228102750577</v>
      </c>
      <c r="I21" s="66">
        <f t="shared" si="1"/>
        <v>1707000</v>
      </c>
    </row>
    <row r="22" spans="2:9" s="84" customFormat="1" ht="21" customHeight="1" x14ac:dyDescent="0.3">
      <c r="B22" s="78">
        <v>10</v>
      </c>
      <c r="C22" s="79" t="str">
        <f>DASAR!B11</f>
        <v>KULISUSU</v>
      </c>
      <c r="D22" s="79" t="str">
        <f>DASAR!D11</f>
        <v>WASALABOSE</v>
      </c>
      <c r="E22" s="80">
        <f t="shared" si="2"/>
        <v>1705584.6153846155</v>
      </c>
      <c r="F22" s="81">
        <f>DASAR!F11</f>
        <v>1.7434854174012086E-2</v>
      </c>
      <c r="G22" s="82">
        <f t="shared" si="0"/>
        <v>88690400</v>
      </c>
      <c r="H22" s="82">
        <f t="shared" si="3"/>
        <v>1546304.1906348015</v>
      </c>
      <c r="I22" s="83">
        <f t="shared" si="1"/>
        <v>3252000</v>
      </c>
    </row>
    <row r="23" spans="2:9" s="67" customFormat="1" ht="21" customHeight="1" x14ac:dyDescent="0.3">
      <c r="B23" s="61">
        <v>11</v>
      </c>
      <c r="C23" s="62" t="str">
        <f>DASAR!B12</f>
        <v>KULISUSU</v>
      </c>
      <c r="D23" s="62" t="str">
        <f>DASAR!D12</f>
        <v>MALALANDA</v>
      </c>
      <c r="E23" s="63">
        <f t="shared" si="2"/>
        <v>1705584.6153846155</v>
      </c>
      <c r="F23" s="64">
        <f>DASAR!F12</f>
        <v>3.862030281475505E-3</v>
      </c>
      <c r="G23" s="65">
        <f t="shared" si="0"/>
        <v>88690400</v>
      </c>
      <c r="H23" s="65">
        <f t="shared" si="3"/>
        <v>342525.01047617511</v>
      </c>
      <c r="I23" s="66">
        <f t="shared" si="1"/>
        <v>2048000</v>
      </c>
    </row>
    <row r="24" spans="2:9" s="84" customFormat="1" ht="21" customHeight="1" x14ac:dyDescent="0.3">
      <c r="B24" s="78">
        <v>12</v>
      </c>
      <c r="C24" s="79" t="str">
        <f>DASAR!B13</f>
        <v>KULISUSU</v>
      </c>
      <c r="D24" s="79" t="str">
        <f>DASAR!D13</f>
        <v>LEMO'EA</v>
      </c>
      <c r="E24" s="80">
        <f t="shared" si="2"/>
        <v>1705584.6153846155</v>
      </c>
      <c r="F24" s="81">
        <f>DASAR!F13</f>
        <v>1.1151154998047289E-2</v>
      </c>
      <c r="G24" s="82">
        <f t="shared" si="0"/>
        <v>88690400</v>
      </c>
      <c r="H24" s="82">
        <f t="shared" si="3"/>
        <v>989000.39723881322</v>
      </c>
      <c r="I24" s="83">
        <f t="shared" si="1"/>
        <v>2695000</v>
      </c>
    </row>
    <row r="25" spans="2:9" s="67" customFormat="1" ht="21" customHeight="1" x14ac:dyDescent="0.3">
      <c r="B25" s="61">
        <v>13</v>
      </c>
      <c r="C25" s="62" t="str">
        <f>DASAR!B14</f>
        <v>KULISUSU</v>
      </c>
      <c r="D25" s="62" t="str">
        <f>DASAR!D14</f>
        <v>LANTAGI</v>
      </c>
      <c r="E25" s="63">
        <f t="shared" si="2"/>
        <v>1705584.6153846155</v>
      </c>
      <c r="F25" s="64">
        <f>DASAR!F14</f>
        <v>3.3406879211503181E-3</v>
      </c>
      <c r="G25" s="65">
        <f t="shared" si="0"/>
        <v>88690400</v>
      </c>
      <c r="H25" s="65">
        <f t="shared" si="3"/>
        <v>296286.94800199015</v>
      </c>
      <c r="I25" s="66">
        <f t="shared" si="1"/>
        <v>2002000</v>
      </c>
    </row>
    <row r="26" spans="2:9" s="84" customFormat="1" ht="21" customHeight="1" x14ac:dyDescent="0.3">
      <c r="B26" s="78">
        <v>14</v>
      </c>
      <c r="C26" s="79" t="str">
        <f>DASAR!B15</f>
        <v>KULISUSU</v>
      </c>
      <c r="D26" s="79" t="str">
        <f>DASAR!D15</f>
        <v>LAANGKE</v>
      </c>
      <c r="E26" s="80">
        <f t="shared" si="2"/>
        <v>1705584.6153846155</v>
      </c>
      <c r="F26" s="81">
        <f>DASAR!F15</f>
        <v>6.7490930337388167E-3</v>
      </c>
      <c r="G26" s="82">
        <f t="shared" si="0"/>
        <v>88690400</v>
      </c>
      <c r="H26" s="82">
        <f t="shared" si="3"/>
        <v>598579.76079950912</v>
      </c>
      <c r="I26" s="83">
        <f t="shared" si="1"/>
        <v>2304000</v>
      </c>
    </row>
    <row r="27" spans="2:9" s="67" customFormat="1" ht="21" customHeight="1" x14ac:dyDescent="0.3">
      <c r="B27" s="61">
        <v>15</v>
      </c>
      <c r="C27" s="62" t="str">
        <f>DASAR!B16</f>
        <v>KULISUSU</v>
      </c>
      <c r="D27" s="62" t="str">
        <f>DASAR!D16</f>
        <v>KADACUA</v>
      </c>
      <c r="E27" s="63">
        <f t="shared" si="2"/>
        <v>1705584.6153846155</v>
      </c>
      <c r="F27" s="64">
        <f>DASAR!F16</f>
        <v>1.3003564965347754E-2</v>
      </c>
      <c r="G27" s="65">
        <f t="shared" si="0"/>
        <v>88690400</v>
      </c>
      <c r="H27" s="65">
        <f t="shared" si="3"/>
        <v>1153291.3782026784</v>
      </c>
      <c r="I27" s="66">
        <f t="shared" si="1"/>
        <v>2859000</v>
      </c>
    </row>
    <row r="28" spans="2:9" s="84" customFormat="1" ht="21" customHeight="1" x14ac:dyDescent="0.3">
      <c r="B28" s="78">
        <v>16</v>
      </c>
      <c r="C28" s="79" t="str">
        <f>DASAR!B17</f>
        <v>KULISUSU</v>
      </c>
      <c r="D28" s="79" t="str">
        <f>DASAR!D17</f>
        <v>BANU-BANUA JAYA</v>
      </c>
      <c r="E28" s="80">
        <f t="shared" si="2"/>
        <v>1705584.6153846155</v>
      </c>
      <c r="F28" s="81">
        <f>DASAR!F17</f>
        <v>4.6946177898940693E-3</v>
      </c>
      <c r="G28" s="82">
        <f t="shared" si="0"/>
        <v>88690400</v>
      </c>
      <c r="H28" s="82">
        <f t="shared" si="3"/>
        <v>416367.52963282098</v>
      </c>
      <c r="I28" s="83">
        <f t="shared" si="1"/>
        <v>2122000</v>
      </c>
    </row>
    <row r="29" spans="2:9" s="67" customFormat="1" ht="21" customHeight="1" x14ac:dyDescent="0.3">
      <c r="B29" s="61">
        <v>17</v>
      </c>
      <c r="C29" s="62" t="str">
        <f>DASAR!B18</f>
        <v>KAMBOWA</v>
      </c>
      <c r="D29" s="62" t="str">
        <f>DASAR!D18</f>
        <v>BUBU</v>
      </c>
      <c r="E29" s="63">
        <f t="shared" si="2"/>
        <v>1705584.6153846155</v>
      </c>
      <c r="F29" s="64">
        <f>DASAR!F18</f>
        <v>2.0955956429190983E-2</v>
      </c>
      <c r="G29" s="65">
        <f t="shared" si="0"/>
        <v>88690400</v>
      </c>
      <c r="H29" s="65">
        <f t="shared" si="3"/>
        <v>1858592.1580875199</v>
      </c>
      <c r="I29" s="66">
        <f t="shared" si="1"/>
        <v>3564000</v>
      </c>
    </row>
    <row r="30" spans="2:9" s="84" customFormat="1" ht="21" customHeight="1" x14ac:dyDescent="0.3">
      <c r="B30" s="78">
        <v>18</v>
      </c>
      <c r="C30" s="79" t="str">
        <f>DASAR!B19</f>
        <v>KAMBOWA</v>
      </c>
      <c r="D30" s="79" t="str">
        <f>DASAR!D19</f>
        <v>LAHUMOKO</v>
      </c>
      <c r="E30" s="80">
        <f t="shared" si="2"/>
        <v>1705584.6153846155</v>
      </c>
      <c r="F30" s="81">
        <f>DASAR!F19</f>
        <v>1.1283991712342593E-2</v>
      </c>
      <c r="G30" s="82">
        <f t="shared" si="0"/>
        <v>88690400</v>
      </c>
      <c r="H30" s="82">
        <f t="shared" si="3"/>
        <v>1000781.7385643495</v>
      </c>
      <c r="I30" s="83">
        <f t="shared" si="1"/>
        <v>2706000</v>
      </c>
    </row>
    <row r="31" spans="2:9" s="67" customFormat="1" ht="21" customHeight="1" x14ac:dyDescent="0.3">
      <c r="B31" s="61">
        <v>19</v>
      </c>
      <c r="C31" s="62" t="str">
        <f>DASAR!B20</f>
        <v>KAMBOWA</v>
      </c>
      <c r="D31" s="62" t="str">
        <f>DASAR!D20</f>
        <v>MORINDINO</v>
      </c>
      <c r="E31" s="63">
        <f t="shared" si="2"/>
        <v>1705584.6153846155</v>
      </c>
      <c r="F31" s="64">
        <f>DASAR!F20</f>
        <v>1.9772247476268431E-2</v>
      </c>
      <c r="G31" s="65">
        <f t="shared" si="0"/>
        <v>88690400</v>
      </c>
      <c r="H31" s="65">
        <f t="shared" si="3"/>
        <v>1753608.5375692376</v>
      </c>
      <c r="I31" s="66">
        <f t="shared" si="1"/>
        <v>3459000</v>
      </c>
    </row>
    <row r="32" spans="2:9" s="84" customFormat="1" ht="21" customHeight="1" x14ac:dyDescent="0.3">
      <c r="B32" s="78">
        <v>20</v>
      </c>
      <c r="C32" s="79" t="str">
        <f>DASAR!B21</f>
        <v>KAMBOWA</v>
      </c>
      <c r="D32" s="79" t="str">
        <f>DASAR!D21</f>
        <v>PONGKOWULU</v>
      </c>
      <c r="E32" s="80">
        <f t="shared" si="2"/>
        <v>1705584.6153846155</v>
      </c>
      <c r="F32" s="81">
        <f>DASAR!F21</f>
        <v>1.9180668047068677E-2</v>
      </c>
      <c r="G32" s="82">
        <f t="shared" si="0"/>
        <v>88690400</v>
      </c>
      <c r="H32" s="82">
        <f t="shared" si="3"/>
        <v>1701141.1213617397</v>
      </c>
      <c r="I32" s="83">
        <f t="shared" si="1"/>
        <v>3407000</v>
      </c>
    </row>
    <row r="33" spans="2:9" s="67" customFormat="1" ht="21" customHeight="1" x14ac:dyDescent="0.3">
      <c r="B33" s="61">
        <v>21</v>
      </c>
      <c r="C33" s="62" t="str">
        <f>DASAR!B22</f>
        <v>KAMBOWA</v>
      </c>
      <c r="D33" s="62" t="str">
        <f>DASAR!D22</f>
        <v>LAGUNDI</v>
      </c>
      <c r="E33" s="63">
        <f t="shared" si="2"/>
        <v>1705584.6153846155</v>
      </c>
      <c r="F33" s="64">
        <f>DASAR!F22</f>
        <v>2.4038588897418348E-2</v>
      </c>
      <c r="G33" s="65">
        <f t="shared" si="0"/>
        <v>88690400</v>
      </c>
      <c r="H33" s="65">
        <f t="shared" si="3"/>
        <v>2131992.0647475924</v>
      </c>
      <c r="I33" s="66">
        <f t="shared" si="1"/>
        <v>3838000</v>
      </c>
    </row>
    <row r="34" spans="2:9" s="84" customFormat="1" ht="21" customHeight="1" x14ac:dyDescent="0.3">
      <c r="B34" s="78">
        <v>22</v>
      </c>
      <c r="C34" s="79" t="str">
        <f>DASAR!B23</f>
        <v>KAMBOWA</v>
      </c>
      <c r="D34" s="79" t="str">
        <f>DASAR!D23</f>
        <v>KONDE</v>
      </c>
      <c r="E34" s="80">
        <f t="shared" si="2"/>
        <v>1705584.6153846155</v>
      </c>
      <c r="F34" s="81">
        <f>DASAR!F23</f>
        <v>6.4859783781569293E-3</v>
      </c>
      <c r="G34" s="82">
        <f t="shared" si="0"/>
        <v>88690400</v>
      </c>
      <c r="H34" s="82">
        <f t="shared" si="3"/>
        <v>575244.01675008936</v>
      </c>
      <c r="I34" s="83">
        <f t="shared" si="1"/>
        <v>2281000</v>
      </c>
    </row>
    <row r="35" spans="2:9" s="67" customFormat="1" ht="21" customHeight="1" x14ac:dyDescent="0.3">
      <c r="B35" s="61">
        <v>23</v>
      </c>
      <c r="C35" s="62" t="str">
        <f>DASAR!B24</f>
        <v>KAMBOWA</v>
      </c>
      <c r="D35" s="62" t="str">
        <f>DASAR!D24</f>
        <v>MATA</v>
      </c>
      <c r="E35" s="63">
        <f t="shared" si="2"/>
        <v>1705584.6153846155</v>
      </c>
      <c r="F35" s="64">
        <f>DASAR!F24</f>
        <v>1.3481197037131999E-2</v>
      </c>
      <c r="G35" s="65">
        <f t="shared" si="0"/>
        <v>88690400</v>
      </c>
      <c r="H35" s="65">
        <f t="shared" si="3"/>
        <v>1195652.7577020519</v>
      </c>
      <c r="I35" s="66">
        <f t="shared" si="1"/>
        <v>2901000</v>
      </c>
    </row>
    <row r="36" spans="2:9" s="84" customFormat="1" ht="21" customHeight="1" x14ac:dyDescent="0.3">
      <c r="B36" s="78">
        <v>24</v>
      </c>
      <c r="C36" s="79" t="str">
        <f>DASAR!B25</f>
        <v>KAMBOWA</v>
      </c>
      <c r="D36" s="79" t="str">
        <f>DASAR!D25</f>
        <v>BUBU BARAT</v>
      </c>
      <c r="E36" s="80">
        <f t="shared" si="2"/>
        <v>1705584.6153846155</v>
      </c>
      <c r="F36" s="81">
        <f>DASAR!F25</f>
        <v>1.6500304700968048E-2</v>
      </c>
      <c r="G36" s="82">
        <f t="shared" si="0"/>
        <v>88690400</v>
      </c>
      <c r="H36" s="82">
        <f t="shared" si="3"/>
        <v>1463418.6240507367</v>
      </c>
      <c r="I36" s="83">
        <f t="shared" si="1"/>
        <v>3169000</v>
      </c>
    </row>
    <row r="37" spans="2:9" s="67" customFormat="1" ht="21" customHeight="1" x14ac:dyDescent="0.3">
      <c r="B37" s="61">
        <v>25</v>
      </c>
      <c r="C37" s="62" t="str">
        <f>DASAR!B26</f>
        <v>KAMBOWA</v>
      </c>
      <c r="D37" s="62" t="str">
        <f>DASAR!D26</f>
        <v>BENTE</v>
      </c>
      <c r="E37" s="63">
        <f t="shared" si="2"/>
        <v>1705584.6153846155</v>
      </c>
      <c r="F37" s="64">
        <f>DASAR!F26</f>
        <v>5.313118511661147E-3</v>
      </c>
      <c r="G37" s="65">
        <f t="shared" si="0"/>
        <v>88690400</v>
      </c>
      <c r="H37" s="65">
        <f t="shared" si="3"/>
        <v>471222.60604663182</v>
      </c>
      <c r="I37" s="66">
        <f t="shared" si="1"/>
        <v>2177000</v>
      </c>
    </row>
    <row r="38" spans="2:9" s="84" customFormat="1" ht="21" customHeight="1" x14ac:dyDescent="0.3">
      <c r="B38" s="78">
        <v>26</v>
      </c>
      <c r="C38" s="79" t="str">
        <f>DASAR!B27</f>
        <v>KAMBOWA</v>
      </c>
      <c r="D38" s="79" t="str">
        <f>DASAR!D27</f>
        <v>BALUARA</v>
      </c>
      <c r="E38" s="80">
        <f t="shared" si="2"/>
        <v>1705584.6153846155</v>
      </c>
      <c r="F38" s="81">
        <f>DASAR!F27</f>
        <v>9.7241375706277264E-3</v>
      </c>
      <c r="G38" s="82">
        <f t="shared" si="0"/>
        <v>88690400</v>
      </c>
      <c r="H38" s="82">
        <f t="shared" si="3"/>
        <v>862437.6507940013</v>
      </c>
      <c r="I38" s="83">
        <f t="shared" si="1"/>
        <v>2568000</v>
      </c>
    </row>
    <row r="39" spans="2:9" s="67" customFormat="1" ht="21" customHeight="1" x14ac:dyDescent="0.3">
      <c r="B39" s="61">
        <v>27</v>
      </c>
      <c r="C39" s="62" t="str">
        <f>DASAR!B28</f>
        <v>BONEGUNU</v>
      </c>
      <c r="D39" s="62" t="str">
        <f>DASAR!D28</f>
        <v>GUNUNG SARI</v>
      </c>
      <c r="E39" s="63">
        <f t="shared" si="2"/>
        <v>1705584.6153846155</v>
      </c>
      <c r="F39" s="64">
        <f>DASAR!F28</f>
        <v>1.6669531001439496E-2</v>
      </c>
      <c r="G39" s="65">
        <f t="shared" si="0"/>
        <v>88690400</v>
      </c>
      <c r="H39" s="65">
        <f t="shared" si="3"/>
        <v>1478427.3723300695</v>
      </c>
      <c r="I39" s="66">
        <f t="shared" si="1"/>
        <v>3184000</v>
      </c>
    </row>
    <row r="40" spans="2:9" s="91" customFormat="1" ht="21" customHeight="1" x14ac:dyDescent="0.3">
      <c r="B40" s="85">
        <v>28</v>
      </c>
      <c r="C40" s="86" t="str">
        <f>DASAR!B29</f>
        <v>BONEGUNU</v>
      </c>
      <c r="D40" s="86" t="str">
        <f>DASAR!D29</f>
        <v>RONTA</v>
      </c>
      <c r="E40" s="87">
        <f t="shared" si="2"/>
        <v>1705584.6153846155</v>
      </c>
      <c r="F40" s="88">
        <f>DASAR!F29</f>
        <v>6.3077421961792038E-3</v>
      </c>
      <c r="G40" s="89">
        <f t="shared" si="0"/>
        <v>88690400</v>
      </c>
      <c r="H40" s="89">
        <f t="shared" si="3"/>
        <v>559436.17847601208</v>
      </c>
      <c r="I40" s="90">
        <f t="shared" si="1"/>
        <v>2265000</v>
      </c>
    </row>
    <row r="41" spans="2:9" s="67" customFormat="1" ht="21" customHeight="1" x14ac:dyDescent="0.3">
      <c r="B41" s="61">
        <v>29</v>
      </c>
      <c r="C41" s="62" t="str">
        <f>DASAR!B30</f>
        <v>BONEGUNU</v>
      </c>
      <c r="D41" s="62" t="str">
        <f>DASAR!D30</f>
        <v>WAODE ANGKALO</v>
      </c>
      <c r="E41" s="63">
        <f t="shared" si="2"/>
        <v>1705584.6153846155</v>
      </c>
      <c r="F41" s="64">
        <f>DASAR!F30</f>
        <v>2.2246525410598263E-2</v>
      </c>
      <c r="G41" s="65">
        <f t="shared" si="0"/>
        <v>88690400</v>
      </c>
      <c r="H41" s="65">
        <f t="shared" si="3"/>
        <v>1973053.2372761243</v>
      </c>
      <c r="I41" s="66">
        <f t="shared" si="1"/>
        <v>3679000</v>
      </c>
    </row>
    <row r="42" spans="2:9" s="84" customFormat="1" ht="21" customHeight="1" x14ac:dyDescent="0.3">
      <c r="B42" s="78">
        <v>30</v>
      </c>
      <c r="C42" s="79" t="str">
        <f>DASAR!B31</f>
        <v>BONEGUNU</v>
      </c>
      <c r="D42" s="79" t="str">
        <f>DASAR!D31</f>
        <v>LANGERE</v>
      </c>
      <c r="E42" s="80">
        <f t="shared" si="2"/>
        <v>1705584.6153846155</v>
      </c>
      <c r="F42" s="81">
        <f>DASAR!F31</f>
        <v>5.3521057664183466E-3</v>
      </c>
      <c r="G42" s="82">
        <f t="shared" si="0"/>
        <v>88690400</v>
      </c>
      <c r="H42" s="82">
        <f t="shared" si="3"/>
        <v>474680.40126594971</v>
      </c>
      <c r="I42" s="83">
        <f t="shared" si="1"/>
        <v>2180000</v>
      </c>
    </row>
    <row r="43" spans="2:9" s="67" customFormat="1" ht="21" customHeight="1" x14ac:dyDescent="0.3">
      <c r="B43" s="61">
        <v>31</v>
      </c>
      <c r="C43" s="62" t="str">
        <f>DASAR!B32</f>
        <v>BONEGUNU</v>
      </c>
      <c r="D43" s="62" t="str">
        <f>DASAR!D32</f>
        <v>KOEPISINO</v>
      </c>
      <c r="E43" s="63">
        <f t="shared" si="2"/>
        <v>1705584.6153846155</v>
      </c>
      <c r="F43" s="64">
        <f>DASAR!F32</f>
        <v>6.4780520161657447E-3</v>
      </c>
      <c r="G43" s="65">
        <f t="shared" si="0"/>
        <v>88690400</v>
      </c>
      <c r="H43" s="65">
        <f t="shared" si="3"/>
        <v>574541.02453454642</v>
      </c>
      <c r="I43" s="66">
        <f t="shared" si="1"/>
        <v>2280000</v>
      </c>
    </row>
    <row r="44" spans="2:9" s="84" customFormat="1" ht="21" customHeight="1" x14ac:dyDescent="0.3">
      <c r="B44" s="78">
        <v>32</v>
      </c>
      <c r="C44" s="79" t="str">
        <f>DASAR!B33</f>
        <v>BONEGUNU</v>
      </c>
      <c r="D44" s="79" t="str">
        <f>DASAR!D33</f>
        <v>WAODE KALOWO</v>
      </c>
      <c r="E44" s="80">
        <f t="shared" si="2"/>
        <v>1705584.6153846155</v>
      </c>
      <c r="F44" s="81">
        <f>DASAR!F33</f>
        <v>6.279128946215233E-3</v>
      </c>
      <c r="G44" s="82">
        <f t="shared" si="0"/>
        <v>88690400</v>
      </c>
      <c r="H44" s="82">
        <f t="shared" si="3"/>
        <v>556898.45789140754</v>
      </c>
      <c r="I44" s="83">
        <f t="shared" si="1"/>
        <v>2262000</v>
      </c>
    </row>
    <row r="45" spans="2:9" s="67" customFormat="1" ht="21" customHeight="1" x14ac:dyDescent="0.3">
      <c r="B45" s="61">
        <v>33</v>
      </c>
      <c r="C45" s="62" t="str">
        <f>DASAR!B34</f>
        <v>BONEGUNU</v>
      </c>
      <c r="D45" s="62" t="str">
        <f>DASAR!D34</f>
        <v>LAANO IPI</v>
      </c>
      <c r="E45" s="63">
        <f t="shared" si="2"/>
        <v>1705584.6153846155</v>
      </c>
      <c r="F45" s="64">
        <f>DASAR!F34</f>
        <v>7.7051962103677147E-3</v>
      </c>
      <c r="G45" s="65">
        <f t="shared" ref="G45:G76" si="4">E$99</f>
        <v>88690400</v>
      </c>
      <c r="H45" s="65">
        <f t="shared" si="3"/>
        <v>683376.9339759968</v>
      </c>
      <c r="I45" s="66">
        <f t="shared" si="1"/>
        <v>2389000</v>
      </c>
    </row>
    <row r="46" spans="2:9" s="84" customFormat="1" ht="21" customHeight="1" x14ac:dyDescent="0.3">
      <c r="B46" s="78">
        <v>34</v>
      </c>
      <c r="C46" s="79" t="str">
        <f>DASAR!B35</f>
        <v>BONEGUNU</v>
      </c>
      <c r="D46" s="79" t="str">
        <f>DASAR!D35</f>
        <v>EENSUMALA</v>
      </c>
      <c r="E46" s="80">
        <f t="shared" si="2"/>
        <v>1705584.6153846155</v>
      </c>
      <c r="F46" s="81">
        <f>DASAR!F35</f>
        <v>9.8314032243668227E-3</v>
      </c>
      <c r="G46" s="82">
        <f t="shared" si="4"/>
        <v>88690400</v>
      </c>
      <c r="H46" s="82">
        <f t="shared" si="3"/>
        <v>871951.08453038323</v>
      </c>
      <c r="I46" s="83">
        <f t="shared" si="1"/>
        <v>2578000</v>
      </c>
    </row>
    <row r="47" spans="2:9" s="67" customFormat="1" ht="21" customHeight="1" x14ac:dyDescent="0.3">
      <c r="B47" s="61">
        <v>35</v>
      </c>
      <c r="C47" s="62" t="str">
        <f>DASAR!B36</f>
        <v>BONEGUNU</v>
      </c>
      <c r="D47" s="62" t="str">
        <f>DASAR!D36</f>
        <v>TATOMBULI</v>
      </c>
      <c r="E47" s="63">
        <f t="shared" si="2"/>
        <v>1705584.6153846155</v>
      </c>
      <c r="F47" s="64">
        <f>DASAR!F36</f>
        <v>7.5676642448403381E-3</v>
      </c>
      <c r="G47" s="65">
        <f t="shared" si="4"/>
        <v>88690400</v>
      </c>
      <c r="H47" s="65">
        <f t="shared" si="3"/>
        <v>671179.16894058755</v>
      </c>
      <c r="I47" s="66">
        <f t="shared" si="1"/>
        <v>2377000</v>
      </c>
    </row>
    <row r="48" spans="2:9" s="84" customFormat="1" ht="21" customHeight="1" x14ac:dyDescent="0.3">
      <c r="B48" s="78">
        <v>36</v>
      </c>
      <c r="C48" s="79" t="str">
        <f>DASAR!B37</f>
        <v>BONEGUNU</v>
      </c>
      <c r="D48" s="79" t="str">
        <f>DASAR!D37</f>
        <v>RANTE GOLA</v>
      </c>
      <c r="E48" s="80">
        <f t="shared" si="2"/>
        <v>1705584.6153846155</v>
      </c>
      <c r="F48" s="81">
        <f>DASAR!F37</f>
        <v>4.0682990580873171E-3</v>
      </c>
      <c r="G48" s="82">
        <f t="shared" si="4"/>
        <v>88690400</v>
      </c>
      <c r="H48" s="82">
        <f t="shared" si="3"/>
        <v>360819.07078138739</v>
      </c>
      <c r="I48" s="83">
        <f t="shared" si="1"/>
        <v>2066000</v>
      </c>
    </row>
    <row r="49" spans="2:9" s="67" customFormat="1" ht="21" customHeight="1" x14ac:dyDescent="0.3">
      <c r="B49" s="61">
        <v>37</v>
      </c>
      <c r="C49" s="62" t="str">
        <f>DASAR!B38</f>
        <v>BONEGUNU</v>
      </c>
      <c r="D49" s="62" t="str">
        <f>DASAR!D38</f>
        <v>NGAPA'EA</v>
      </c>
      <c r="E49" s="63">
        <f t="shared" si="2"/>
        <v>1705584.6153846155</v>
      </c>
      <c r="F49" s="64">
        <f>DASAR!F38</f>
        <v>8.3527380333944662E-3</v>
      </c>
      <c r="G49" s="65">
        <f t="shared" si="4"/>
        <v>88690400</v>
      </c>
      <c r="H49" s="65">
        <f t="shared" si="3"/>
        <v>740807.67727696861</v>
      </c>
      <c r="I49" s="66">
        <f t="shared" si="1"/>
        <v>2446000</v>
      </c>
    </row>
    <row r="50" spans="2:9" s="84" customFormat="1" ht="21" customHeight="1" x14ac:dyDescent="0.3">
      <c r="B50" s="78">
        <v>38</v>
      </c>
      <c r="C50" s="79" t="str">
        <f>DASAR!B39</f>
        <v>BONEGUNU</v>
      </c>
      <c r="D50" s="79" t="str">
        <f>DASAR!D39</f>
        <v>KOBORUNO</v>
      </c>
      <c r="E50" s="80">
        <f t="shared" si="2"/>
        <v>1705584.6153846155</v>
      </c>
      <c r="F50" s="81">
        <f>DASAR!F39</f>
        <v>4.6368661997395824E-3</v>
      </c>
      <c r="G50" s="82">
        <f t="shared" si="4"/>
        <v>88690400</v>
      </c>
      <c r="H50" s="82">
        <f t="shared" si="3"/>
        <v>411245.51800138346</v>
      </c>
      <c r="I50" s="83">
        <f t="shared" si="1"/>
        <v>2117000</v>
      </c>
    </row>
    <row r="51" spans="2:9" s="67" customFormat="1" ht="21" customHeight="1" x14ac:dyDescent="0.3">
      <c r="B51" s="61">
        <v>39</v>
      </c>
      <c r="C51" s="62" t="str">
        <f>DASAR!B40</f>
        <v>BONEGUNU</v>
      </c>
      <c r="D51" s="62" t="str">
        <f>DASAR!D40</f>
        <v>DAMAI LABORONA</v>
      </c>
      <c r="E51" s="63">
        <f t="shared" si="2"/>
        <v>1705584.6153846155</v>
      </c>
      <c r="F51" s="64">
        <f>DASAR!F40</f>
        <v>0</v>
      </c>
      <c r="G51" s="65">
        <f t="shared" si="4"/>
        <v>88690400</v>
      </c>
      <c r="H51" s="65">
        <f t="shared" si="3"/>
        <v>0</v>
      </c>
      <c r="I51" s="66">
        <f t="shared" si="1"/>
        <v>1706000</v>
      </c>
    </row>
    <row r="52" spans="2:9" s="84" customFormat="1" ht="21" customHeight="1" x14ac:dyDescent="0.3">
      <c r="B52" s="78">
        <v>40</v>
      </c>
      <c r="C52" s="79" t="str">
        <f>DASAR!B41</f>
        <v>KULISUSU BARAT</v>
      </c>
      <c r="D52" s="79" t="str">
        <f>DASAR!D41</f>
        <v>KOTAWO</v>
      </c>
      <c r="E52" s="80">
        <f t="shared" si="2"/>
        <v>1705584.6153846155</v>
      </c>
      <c r="F52" s="81">
        <f>DASAR!F41</f>
        <v>9.6193445639871766E-3</v>
      </c>
      <c r="G52" s="82">
        <f t="shared" si="4"/>
        <v>88690400</v>
      </c>
      <c r="H52" s="82">
        <f t="shared" si="3"/>
        <v>853143.51711784827</v>
      </c>
      <c r="I52" s="83">
        <f t="shared" si="1"/>
        <v>2559000</v>
      </c>
    </row>
    <row r="53" spans="2:9" s="67" customFormat="1" ht="21" customHeight="1" x14ac:dyDescent="0.3">
      <c r="B53" s="61">
        <v>41</v>
      </c>
      <c r="C53" s="62" t="str">
        <f>DASAR!B42</f>
        <v>KULISUSU BARAT</v>
      </c>
      <c r="D53" s="62" t="str">
        <f>DASAR!D42</f>
        <v>KARYA BHAKTI</v>
      </c>
      <c r="E53" s="63">
        <f t="shared" si="2"/>
        <v>1705584.6153846155</v>
      </c>
      <c r="F53" s="64">
        <f>DASAR!F42</f>
        <v>1.3190460968680727E-2</v>
      </c>
      <c r="G53" s="65">
        <f t="shared" si="4"/>
        <v>88690400</v>
      </c>
      <c r="H53" s="65">
        <f t="shared" si="3"/>
        <v>1169867.2594966812</v>
      </c>
      <c r="I53" s="66">
        <f t="shared" si="1"/>
        <v>2875000</v>
      </c>
    </row>
    <row r="54" spans="2:9" s="84" customFormat="1" ht="21" customHeight="1" x14ac:dyDescent="0.3">
      <c r="B54" s="78">
        <v>42</v>
      </c>
      <c r="C54" s="79" t="str">
        <f>DASAR!B43</f>
        <v>KULISUSU BARAT</v>
      </c>
      <c r="D54" s="79" t="str">
        <f>DASAR!D43</f>
        <v>MARGAKARYA</v>
      </c>
      <c r="E54" s="80">
        <f t="shared" si="2"/>
        <v>1705584.6153846155</v>
      </c>
      <c r="F54" s="81">
        <f>DASAR!F43</f>
        <v>4.1191314037486236E-2</v>
      </c>
      <c r="G54" s="82">
        <f t="shared" si="4"/>
        <v>88690400</v>
      </c>
      <c r="H54" s="82">
        <f t="shared" si="3"/>
        <v>3653274.1185102691</v>
      </c>
      <c r="I54" s="83">
        <f t="shared" si="1"/>
        <v>5359000</v>
      </c>
    </row>
    <row r="55" spans="2:9" s="67" customFormat="1" ht="21" customHeight="1" x14ac:dyDescent="0.3">
      <c r="B55" s="61">
        <v>43</v>
      </c>
      <c r="C55" s="62" t="str">
        <f>DASAR!B44</f>
        <v>KULISUSU BARAT</v>
      </c>
      <c r="D55" s="62" t="str">
        <f>DASAR!D44</f>
        <v>KASULATOMBI</v>
      </c>
      <c r="E55" s="63">
        <f t="shared" si="2"/>
        <v>1705584.6153846155</v>
      </c>
      <c r="F55" s="64">
        <f>DASAR!F44</f>
        <v>9.9862631673701963E-3</v>
      </c>
      <c r="G55" s="65">
        <f t="shared" si="4"/>
        <v>88690400</v>
      </c>
      <c r="H55" s="65">
        <f t="shared" si="3"/>
        <v>885685.67481932964</v>
      </c>
      <c r="I55" s="66">
        <f t="shared" si="1"/>
        <v>2591000</v>
      </c>
    </row>
    <row r="56" spans="2:9" s="84" customFormat="1" ht="21" customHeight="1" x14ac:dyDescent="0.3">
      <c r="B56" s="78">
        <v>44</v>
      </c>
      <c r="C56" s="79" t="str">
        <f>DASAR!B45</f>
        <v>KULISUSU BARAT</v>
      </c>
      <c r="D56" s="79" t="str">
        <f>DASAR!D45</f>
        <v>DAMPALA JAYA</v>
      </c>
      <c r="E56" s="80">
        <f t="shared" si="2"/>
        <v>1705584.6153846155</v>
      </c>
      <c r="F56" s="81">
        <f>DASAR!F45</f>
        <v>1.1859129427464593E-2</v>
      </c>
      <c r="G56" s="82">
        <f t="shared" si="4"/>
        <v>88690400</v>
      </c>
      <c r="H56" s="82">
        <f t="shared" si="3"/>
        <v>1051790.9325736058</v>
      </c>
      <c r="I56" s="83">
        <f t="shared" si="1"/>
        <v>2757000</v>
      </c>
    </row>
    <row r="57" spans="2:9" s="67" customFormat="1" ht="21" customHeight="1" x14ac:dyDescent="0.3">
      <c r="B57" s="61">
        <v>45</v>
      </c>
      <c r="C57" s="62" t="str">
        <f>DASAR!B46</f>
        <v>KULISUSU BARAT</v>
      </c>
      <c r="D57" s="62" t="str">
        <f>DASAR!D46</f>
        <v>RAHMAT BARU</v>
      </c>
      <c r="E57" s="63">
        <f t="shared" si="2"/>
        <v>1705584.6153846155</v>
      </c>
      <c r="F57" s="64">
        <f>DASAR!F46</f>
        <v>6.5539233865187967E-3</v>
      </c>
      <c r="G57" s="65">
        <f t="shared" si="4"/>
        <v>88690400</v>
      </c>
      <c r="H57" s="65">
        <f t="shared" si="3"/>
        <v>581270.08671970665</v>
      </c>
      <c r="I57" s="66">
        <f t="shared" si="1"/>
        <v>2287000</v>
      </c>
    </row>
    <row r="58" spans="2:9" s="113" customFormat="1" ht="21" customHeight="1" x14ac:dyDescent="0.3">
      <c r="B58" s="107">
        <v>46</v>
      </c>
      <c r="C58" s="108" t="str">
        <f>DASAR!B47</f>
        <v>KULISUSU BARAT</v>
      </c>
      <c r="D58" s="108" t="str">
        <f>DASAR!D47</f>
        <v>SOLOY AGUNG</v>
      </c>
      <c r="E58" s="109">
        <f t="shared" si="2"/>
        <v>1705584.6153846155</v>
      </c>
      <c r="F58" s="110">
        <f>DASAR!F47</f>
        <v>0</v>
      </c>
      <c r="G58" s="111">
        <f t="shared" si="4"/>
        <v>88690400</v>
      </c>
      <c r="H58" s="111">
        <f t="shared" si="3"/>
        <v>0</v>
      </c>
      <c r="I58" s="112">
        <f>ROUND(E58+H58,-3)-2000</f>
        <v>1704000</v>
      </c>
    </row>
    <row r="59" spans="2:9" s="67" customFormat="1" ht="21" customHeight="1" x14ac:dyDescent="0.3">
      <c r="B59" s="61">
        <v>47</v>
      </c>
      <c r="C59" s="62" t="str">
        <f>DASAR!B48</f>
        <v>KULISUSU BARAT</v>
      </c>
      <c r="D59" s="62" t="str">
        <f>DASAR!D48</f>
        <v>BUMI LAPERO</v>
      </c>
      <c r="E59" s="63">
        <f t="shared" si="2"/>
        <v>1705584.6153846155</v>
      </c>
      <c r="F59" s="64">
        <f>DASAR!F48</f>
        <v>1.4687245939851648E-2</v>
      </c>
      <c r="G59" s="65">
        <f t="shared" si="4"/>
        <v>88690400</v>
      </c>
      <c r="H59" s="65">
        <f t="shared" si="3"/>
        <v>1302617.7173038186</v>
      </c>
      <c r="I59" s="66">
        <f t="shared" ref="I59:I90" si="5">ROUND(E59+H59,-3)</f>
        <v>3008000</v>
      </c>
    </row>
    <row r="60" spans="2:9" s="84" customFormat="1" ht="21" customHeight="1" x14ac:dyDescent="0.3">
      <c r="B60" s="78">
        <v>48</v>
      </c>
      <c r="C60" s="79" t="str">
        <f>DASAR!B49</f>
        <v>KULISUSU BARAT</v>
      </c>
      <c r="D60" s="79" t="str">
        <f>DASAR!D49</f>
        <v>KARYA MULYA</v>
      </c>
      <c r="E60" s="80">
        <f t="shared" si="2"/>
        <v>1705584.6153846155</v>
      </c>
      <c r="F60" s="81">
        <f>DASAR!F49</f>
        <v>0</v>
      </c>
      <c r="G60" s="82">
        <f t="shared" si="4"/>
        <v>88690400</v>
      </c>
      <c r="H60" s="82">
        <f t="shared" si="3"/>
        <v>0</v>
      </c>
      <c r="I60" s="83">
        <f t="shared" si="5"/>
        <v>1706000</v>
      </c>
    </row>
    <row r="61" spans="2:9" s="67" customFormat="1" ht="21" customHeight="1" x14ac:dyDescent="0.3">
      <c r="B61" s="61">
        <v>49</v>
      </c>
      <c r="C61" s="62" t="str">
        <f>DASAR!B50</f>
        <v>KULISUSU BARAT</v>
      </c>
      <c r="D61" s="62" t="str">
        <f>DASAR!D50</f>
        <v>LAMBALE</v>
      </c>
      <c r="E61" s="63">
        <f t="shared" si="2"/>
        <v>1705584.6153846155</v>
      </c>
      <c r="F61" s="64">
        <f>DASAR!F50</f>
        <v>4.2815690377197343E-3</v>
      </c>
      <c r="G61" s="65">
        <f t="shared" si="4"/>
        <v>88690400</v>
      </c>
      <c r="H61" s="65">
        <f t="shared" si="3"/>
        <v>379734.07058297831</v>
      </c>
      <c r="I61" s="66">
        <f t="shared" si="5"/>
        <v>2085000</v>
      </c>
    </row>
    <row r="62" spans="2:9" s="84" customFormat="1" ht="21" customHeight="1" x14ac:dyDescent="0.3">
      <c r="B62" s="78">
        <v>50</v>
      </c>
      <c r="C62" s="79" t="str">
        <f>DASAR!B51</f>
        <v>KULISUSU BARAT</v>
      </c>
      <c r="D62" s="79" t="str">
        <f>DASAR!D51</f>
        <v>LAPANDEWA</v>
      </c>
      <c r="E62" s="80">
        <f t="shared" si="2"/>
        <v>1705584.6153846155</v>
      </c>
      <c r="F62" s="81">
        <f>DASAR!F51</f>
        <v>1.9883399908986028E-2</v>
      </c>
      <c r="G62" s="82">
        <f t="shared" si="4"/>
        <v>88690400</v>
      </c>
      <c r="H62" s="82">
        <f t="shared" si="3"/>
        <v>1763466.6912879345</v>
      </c>
      <c r="I62" s="83">
        <f t="shared" si="5"/>
        <v>3469000</v>
      </c>
    </row>
    <row r="63" spans="2:9" s="67" customFormat="1" ht="21" customHeight="1" x14ac:dyDescent="0.3">
      <c r="B63" s="61">
        <v>51</v>
      </c>
      <c r="C63" s="62" t="str">
        <f>DASAR!B52</f>
        <v>KULISUSU BARAT</v>
      </c>
      <c r="D63" s="62" t="str">
        <f>DASAR!D52</f>
        <v>LAUKI</v>
      </c>
      <c r="E63" s="63">
        <f t="shared" si="2"/>
        <v>1705584.6153846155</v>
      </c>
      <c r="F63" s="64">
        <f>DASAR!F52</f>
        <v>5.6068023088445074E-3</v>
      </c>
      <c r="G63" s="65">
        <f t="shared" si="4"/>
        <v>88690400</v>
      </c>
      <c r="H63" s="65">
        <f t="shared" si="3"/>
        <v>497269.53949234291</v>
      </c>
      <c r="I63" s="66">
        <f t="shared" si="5"/>
        <v>2203000</v>
      </c>
    </row>
    <row r="64" spans="2:9" s="84" customFormat="1" ht="21" customHeight="1" x14ac:dyDescent="0.3">
      <c r="B64" s="78">
        <v>52</v>
      </c>
      <c r="C64" s="79" t="str">
        <f>DASAR!B53</f>
        <v>KULISUSU BARAT</v>
      </c>
      <c r="D64" s="79" t="str">
        <f>DASAR!D53</f>
        <v>MEKAR JAYA</v>
      </c>
      <c r="E64" s="80">
        <f t="shared" si="2"/>
        <v>1705584.6153846155</v>
      </c>
      <c r="F64" s="81">
        <f>DASAR!F53</f>
        <v>2.6994116191759739E-2</v>
      </c>
      <c r="G64" s="82">
        <f t="shared" si="4"/>
        <v>88690400</v>
      </c>
      <c r="H64" s="82">
        <f t="shared" si="3"/>
        <v>2394118.9626936479</v>
      </c>
      <c r="I64" s="83">
        <f t="shared" si="5"/>
        <v>4100000</v>
      </c>
    </row>
    <row r="65" spans="2:9" s="67" customFormat="1" ht="21" customHeight="1" x14ac:dyDescent="0.3">
      <c r="B65" s="61">
        <v>53</v>
      </c>
      <c r="C65" s="62" t="str">
        <f>DASAR!B54</f>
        <v>KULISUSU BARAT</v>
      </c>
      <c r="D65" s="62" t="str">
        <f>DASAR!D54</f>
        <v>LABULANDA</v>
      </c>
      <c r="E65" s="63">
        <f t="shared" si="2"/>
        <v>1705584.6153846155</v>
      </c>
      <c r="F65" s="64">
        <f>DASAR!F54</f>
        <v>2.7897849258492449E-4</v>
      </c>
      <c r="G65" s="65">
        <f t="shared" si="4"/>
        <v>88690400</v>
      </c>
      <c r="H65" s="65">
        <f t="shared" si="3"/>
        <v>24742.714098753986</v>
      </c>
      <c r="I65" s="66">
        <f t="shared" si="5"/>
        <v>1730000</v>
      </c>
    </row>
    <row r="66" spans="2:9" s="84" customFormat="1" ht="21" customHeight="1" x14ac:dyDescent="0.3">
      <c r="B66" s="78">
        <v>54</v>
      </c>
      <c r="C66" s="79" t="str">
        <f>DASAR!B55</f>
        <v>KULISUSU UTARA</v>
      </c>
      <c r="D66" s="79" t="str">
        <f>DASAR!D55</f>
        <v>KOROLABU</v>
      </c>
      <c r="E66" s="80">
        <f t="shared" si="2"/>
        <v>1705584.6153846155</v>
      </c>
      <c r="F66" s="81">
        <f>DASAR!F55</f>
        <v>8.1927327618219817E-3</v>
      </c>
      <c r="G66" s="82">
        <f t="shared" si="4"/>
        <v>88690400</v>
      </c>
      <c r="H66" s="82">
        <f t="shared" si="3"/>
        <v>726616.74573909631</v>
      </c>
      <c r="I66" s="83">
        <f t="shared" si="5"/>
        <v>2432000</v>
      </c>
    </row>
    <row r="67" spans="2:9" s="67" customFormat="1" ht="21" customHeight="1" x14ac:dyDescent="0.3">
      <c r="B67" s="61">
        <v>55</v>
      </c>
      <c r="C67" s="62" t="str">
        <f>DASAR!B56</f>
        <v>KULISUSU UTARA</v>
      </c>
      <c r="D67" s="62" t="str">
        <f>DASAR!D56</f>
        <v>TOROMBIA</v>
      </c>
      <c r="E67" s="63">
        <f t="shared" si="2"/>
        <v>1705584.6153846155</v>
      </c>
      <c r="F67" s="64">
        <f>DASAR!F56</f>
        <v>7.5585293418515493E-3</v>
      </c>
      <c r="G67" s="65">
        <f t="shared" si="4"/>
        <v>88690400</v>
      </c>
      <c r="H67" s="65">
        <f t="shared" si="3"/>
        <v>670368.99074055068</v>
      </c>
      <c r="I67" s="66">
        <f t="shared" si="5"/>
        <v>2376000</v>
      </c>
    </row>
    <row r="68" spans="2:9" s="84" customFormat="1" ht="21" customHeight="1" x14ac:dyDescent="0.3">
      <c r="B68" s="78">
        <v>56</v>
      </c>
      <c r="C68" s="79" t="str">
        <f>DASAR!B57</f>
        <v>KULISUSU UTARA</v>
      </c>
      <c r="D68" s="79" t="str">
        <f>DASAR!D57</f>
        <v>LAMOAHI</v>
      </c>
      <c r="E68" s="80">
        <f t="shared" si="2"/>
        <v>1705584.6153846155</v>
      </c>
      <c r="F68" s="81">
        <f>DASAR!F57</f>
        <v>6.6185344886803754E-3</v>
      </c>
      <c r="G68" s="82">
        <f t="shared" si="4"/>
        <v>88690400</v>
      </c>
      <c r="H68" s="82">
        <f t="shared" si="3"/>
        <v>587000.471214858</v>
      </c>
      <c r="I68" s="83">
        <f t="shared" si="5"/>
        <v>2293000</v>
      </c>
    </row>
    <row r="69" spans="2:9" s="67" customFormat="1" ht="21" customHeight="1" x14ac:dyDescent="0.3">
      <c r="B69" s="61">
        <v>57</v>
      </c>
      <c r="C69" s="62" t="str">
        <f>DASAR!B58</f>
        <v>KULISUSU UTARA</v>
      </c>
      <c r="D69" s="62" t="str">
        <f>DASAR!D58</f>
        <v>LANOSANGIA</v>
      </c>
      <c r="E69" s="63">
        <f t="shared" si="2"/>
        <v>1705584.6153846155</v>
      </c>
      <c r="F69" s="64">
        <f>DASAR!F58</f>
        <v>1.5005667321041145E-2</v>
      </c>
      <c r="G69" s="65">
        <f t="shared" si="4"/>
        <v>88690400</v>
      </c>
      <c r="H69" s="65">
        <f t="shared" si="3"/>
        <v>1330858.6369700676</v>
      </c>
      <c r="I69" s="66">
        <f t="shared" si="5"/>
        <v>3036000</v>
      </c>
    </row>
    <row r="70" spans="2:9" s="84" customFormat="1" ht="21" customHeight="1" x14ac:dyDescent="0.3">
      <c r="B70" s="78">
        <v>58</v>
      </c>
      <c r="C70" s="79" t="str">
        <f>DASAR!B59</f>
        <v>KULISUSU UTARA</v>
      </c>
      <c r="D70" s="79" t="str">
        <f>DASAR!D59</f>
        <v>PEBAOA</v>
      </c>
      <c r="E70" s="80">
        <f t="shared" si="2"/>
        <v>1705584.6153846155</v>
      </c>
      <c r="F70" s="81">
        <f>DASAR!F59</f>
        <v>1.2935044858166336E-2</v>
      </c>
      <c r="G70" s="82">
        <f t="shared" si="4"/>
        <v>88690400</v>
      </c>
      <c r="H70" s="82">
        <f t="shared" si="3"/>
        <v>1147214.3024887156</v>
      </c>
      <c r="I70" s="83">
        <f t="shared" si="5"/>
        <v>2853000</v>
      </c>
    </row>
    <row r="71" spans="2:9" s="67" customFormat="1" ht="21" customHeight="1" x14ac:dyDescent="0.3">
      <c r="B71" s="61">
        <v>59</v>
      </c>
      <c r="C71" s="62" t="str">
        <f>DASAR!B60</f>
        <v>KULISUSU UTARA</v>
      </c>
      <c r="D71" s="62" t="str">
        <f>DASAR!D60</f>
        <v>PETETEA'A</v>
      </c>
      <c r="E71" s="63">
        <f t="shared" si="2"/>
        <v>1705584.6153846155</v>
      </c>
      <c r="F71" s="64">
        <f>DASAR!F60</f>
        <v>2.8585898041852697E-2</v>
      </c>
      <c r="G71" s="65">
        <f t="shared" si="4"/>
        <v>88690400</v>
      </c>
      <c r="H71" s="65">
        <f t="shared" si="3"/>
        <v>2535294.7316911323</v>
      </c>
      <c r="I71" s="66">
        <f t="shared" si="5"/>
        <v>4241000</v>
      </c>
    </row>
    <row r="72" spans="2:9" s="84" customFormat="1" ht="21" customHeight="1" x14ac:dyDescent="0.3">
      <c r="B72" s="78">
        <v>60</v>
      </c>
      <c r="C72" s="79" t="str">
        <f>DASAR!B61</f>
        <v>KULISUSU UTARA</v>
      </c>
      <c r="D72" s="79" t="str">
        <f>DASAR!D61</f>
        <v>LELAMO</v>
      </c>
      <c r="E72" s="80">
        <f t="shared" si="2"/>
        <v>1705584.6153846155</v>
      </c>
      <c r="F72" s="81">
        <f>DASAR!F61</f>
        <v>1.0570783050190838E-2</v>
      </c>
      <c r="G72" s="82">
        <f t="shared" si="4"/>
        <v>88690400</v>
      </c>
      <c r="H72" s="82">
        <f t="shared" si="3"/>
        <v>937526.9770346455</v>
      </c>
      <c r="I72" s="83">
        <f t="shared" si="5"/>
        <v>2643000</v>
      </c>
    </row>
    <row r="73" spans="2:9" s="67" customFormat="1" ht="21" customHeight="1" x14ac:dyDescent="0.3">
      <c r="B73" s="61">
        <v>61</v>
      </c>
      <c r="C73" s="62" t="str">
        <f>DASAR!B62</f>
        <v>KULISUSU UTARA</v>
      </c>
      <c r="D73" s="62" t="str">
        <f>DASAR!D62</f>
        <v>WAODEBURI</v>
      </c>
      <c r="E73" s="63">
        <f t="shared" si="2"/>
        <v>1705584.6153846155</v>
      </c>
      <c r="F73" s="64">
        <f>DASAR!F62</f>
        <v>2.3702125527174961E-2</v>
      </c>
      <c r="G73" s="65">
        <f t="shared" si="4"/>
        <v>88690400</v>
      </c>
      <c r="H73" s="65">
        <f t="shared" si="3"/>
        <v>2102150.9938553581</v>
      </c>
      <c r="I73" s="66">
        <f t="shared" si="5"/>
        <v>3808000</v>
      </c>
    </row>
    <row r="74" spans="2:9" s="84" customFormat="1" ht="21" customHeight="1" x14ac:dyDescent="0.3">
      <c r="B74" s="78">
        <v>62</v>
      </c>
      <c r="C74" s="79" t="str">
        <f>DASAR!B63</f>
        <v>KULISUSU UTARA</v>
      </c>
      <c r="D74" s="79" t="str">
        <f>DASAR!D63</f>
        <v>ULU NAMBO</v>
      </c>
      <c r="E74" s="80">
        <f t="shared" si="2"/>
        <v>1705584.6153846155</v>
      </c>
      <c r="F74" s="81">
        <f>DASAR!F63</f>
        <v>1.364865081080696E-2</v>
      </c>
      <c r="G74" s="82">
        <f t="shared" si="4"/>
        <v>88690400</v>
      </c>
      <c r="H74" s="82">
        <f t="shared" si="3"/>
        <v>1210504.2998707935</v>
      </c>
      <c r="I74" s="83">
        <f t="shared" si="5"/>
        <v>2916000</v>
      </c>
    </row>
    <row r="75" spans="2:9" s="67" customFormat="1" ht="21" customHeight="1" x14ac:dyDescent="0.3">
      <c r="B75" s="61">
        <v>63</v>
      </c>
      <c r="C75" s="62" t="str">
        <f>DASAR!B64</f>
        <v>KULISUSU UTARA</v>
      </c>
      <c r="D75" s="62" t="str">
        <f>DASAR!D64</f>
        <v>BIRA</v>
      </c>
      <c r="E75" s="63">
        <f t="shared" si="2"/>
        <v>1705584.6153846155</v>
      </c>
      <c r="F75" s="64">
        <f>DASAR!F64</f>
        <v>7.5813999383855237E-3</v>
      </c>
      <c r="G75" s="65">
        <f t="shared" si="4"/>
        <v>88690400</v>
      </c>
      <c r="H75" s="65">
        <f t="shared" si="3"/>
        <v>672397.3930953875</v>
      </c>
      <c r="I75" s="66">
        <f t="shared" si="5"/>
        <v>2378000</v>
      </c>
    </row>
    <row r="76" spans="2:9" s="84" customFormat="1" ht="21" customHeight="1" x14ac:dyDescent="0.3">
      <c r="B76" s="78">
        <v>64</v>
      </c>
      <c r="C76" s="79" t="str">
        <f>DASAR!B65</f>
        <v>KULISUSU UTARA</v>
      </c>
      <c r="D76" s="79" t="str">
        <f>DASAR!D65</f>
        <v>E'ERINERE</v>
      </c>
      <c r="E76" s="80">
        <f t="shared" si="2"/>
        <v>1705584.6153846155</v>
      </c>
      <c r="F76" s="81">
        <f>DASAR!F65</f>
        <v>5.1130702483680388E-3</v>
      </c>
      <c r="G76" s="82">
        <f t="shared" si="4"/>
        <v>88690400</v>
      </c>
      <c r="H76" s="82">
        <f t="shared" si="3"/>
        <v>453480.24555586069</v>
      </c>
      <c r="I76" s="83">
        <f t="shared" si="5"/>
        <v>2159000</v>
      </c>
    </row>
    <row r="77" spans="2:9" s="67" customFormat="1" ht="21" customHeight="1" x14ac:dyDescent="0.3">
      <c r="B77" s="61">
        <v>65</v>
      </c>
      <c r="C77" s="62" t="str">
        <f>DASAR!B66</f>
        <v>KULISUSU UTARA</v>
      </c>
      <c r="D77" s="62" t="str">
        <f>DASAR!D66</f>
        <v>LABELETE</v>
      </c>
      <c r="E77" s="63">
        <f t="shared" si="2"/>
        <v>1705584.6153846155</v>
      </c>
      <c r="F77" s="64">
        <f>DASAR!F66</f>
        <v>1.3176586362377195E-2</v>
      </c>
      <c r="G77" s="65">
        <f t="shared" ref="G77:G90" si="6">E$99</f>
        <v>88690400</v>
      </c>
      <c r="H77" s="65">
        <f t="shared" si="3"/>
        <v>1168636.7151137784</v>
      </c>
      <c r="I77" s="66">
        <f t="shared" si="5"/>
        <v>2874000</v>
      </c>
    </row>
    <row r="78" spans="2:9" s="84" customFormat="1" ht="21" customHeight="1" x14ac:dyDescent="0.3">
      <c r="B78" s="78">
        <v>66</v>
      </c>
      <c r="C78" s="79" t="str">
        <f>DASAR!B67</f>
        <v>KULISUSU UTARA</v>
      </c>
      <c r="D78" s="79" t="str">
        <f>DASAR!D67</f>
        <v>WAMBOULE</v>
      </c>
      <c r="E78" s="80">
        <f t="shared" ref="E78:E90" si="7">E$97</f>
        <v>1705584.6153846155</v>
      </c>
      <c r="F78" s="81">
        <f>DASAR!F67</f>
        <v>1.1354742758423037E-2</v>
      </c>
      <c r="G78" s="82">
        <f t="shared" si="6"/>
        <v>88690400</v>
      </c>
      <c r="H78" s="82">
        <f t="shared" ref="H78:H90" si="8">F78*G78</f>
        <v>1007056.6771416425</v>
      </c>
      <c r="I78" s="83">
        <f t="shared" si="5"/>
        <v>2713000</v>
      </c>
    </row>
    <row r="79" spans="2:9" s="67" customFormat="1" ht="21" customHeight="1" x14ac:dyDescent="0.3">
      <c r="B79" s="61">
        <v>67</v>
      </c>
      <c r="C79" s="62" t="str">
        <f>DASAR!B68</f>
        <v>KULISUSU UTARA</v>
      </c>
      <c r="D79" s="62" t="str">
        <f>DASAR!D68</f>
        <v>WOWONGA JAYA</v>
      </c>
      <c r="E79" s="63">
        <f t="shared" si="7"/>
        <v>1705584.6153846155</v>
      </c>
      <c r="F79" s="64">
        <f>DASAR!F68</f>
        <v>6.4495443398981164E-3</v>
      </c>
      <c r="G79" s="65">
        <f t="shared" si="6"/>
        <v>88690400</v>
      </c>
      <c r="H79" s="65">
        <f t="shared" si="8"/>
        <v>572012.66732329992</v>
      </c>
      <c r="I79" s="66">
        <f t="shared" si="5"/>
        <v>2278000</v>
      </c>
    </row>
    <row r="80" spans="2:9" s="84" customFormat="1" ht="21" customHeight="1" x14ac:dyDescent="0.3">
      <c r="B80" s="78">
        <v>68</v>
      </c>
      <c r="C80" s="79" t="str">
        <f>DASAR!B69</f>
        <v>WAKORUMBA UTARA</v>
      </c>
      <c r="D80" s="79" t="str">
        <f>DASAR!D69</f>
        <v>LASIWA</v>
      </c>
      <c r="E80" s="80">
        <f t="shared" si="7"/>
        <v>1705584.6153846155</v>
      </c>
      <c r="F80" s="81">
        <f>DASAR!F69</f>
        <v>1.2246084807111342E-2</v>
      </c>
      <c r="G80" s="82">
        <f t="shared" si="6"/>
        <v>88690400</v>
      </c>
      <c r="H80" s="82">
        <f t="shared" si="8"/>
        <v>1086110.1599766277</v>
      </c>
      <c r="I80" s="83">
        <f t="shared" si="5"/>
        <v>2792000</v>
      </c>
    </row>
    <row r="81" spans="1:9" s="67" customFormat="1" ht="21" customHeight="1" x14ac:dyDescent="0.3">
      <c r="B81" s="61">
        <v>69</v>
      </c>
      <c r="C81" s="62" t="str">
        <f>DASAR!B70</f>
        <v>WAKORUMBA UTARA</v>
      </c>
      <c r="D81" s="62" t="str">
        <f>DASAR!D70</f>
        <v>LAEA</v>
      </c>
      <c r="E81" s="63">
        <f t="shared" si="7"/>
        <v>1705584.6153846155</v>
      </c>
      <c r="F81" s="64">
        <f>DASAR!F70</f>
        <v>1.7351348158460372E-2</v>
      </c>
      <c r="G81" s="65">
        <f t="shared" si="6"/>
        <v>88690400</v>
      </c>
      <c r="H81" s="65">
        <f t="shared" si="8"/>
        <v>1538898.0087131138</v>
      </c>
      <c r="I81" s="66">
        <f t="shared" si="5"/>
        <v>3244000</v>
      </c>
    </row>
    <row r="82" spans="1:9" s="84" customFormat="1" ht="21" customHeight="1" x14ac:dyDescent="0.3">
      <c r="B82" s="78">
        <v>70</v>
      </c>
      <c r="C82" s="79" t="str">
        <f>DASAR!B71</f>
        <v>WAKORUMBA UTARA</v>
      </c>
      <c r="D82" s="79" t="str">
        <f>DASAR!D71</f>
        <v>MATALAGI</v>
      </c>
      <c r="E82" s="80">
        <f t="shared" si="7"/>
        <v>1705584.6153846155</v>
      </c>
      <c r="F82" s="81">
        <f>DASAR!F71</f>
        <v>3.1025117174231336E-2</v>
      </c>
      <c r="G82" s="82">
        <f t="shared" si="6"/>
        <v>88690400</v>
      </c>
      <c r="H82" s="82">
        <f t="shared" si="8"/>
        <v>2751630.0522294468</v>
      </c>
      <c r="I82" s="83">
        <f t="shared" si="5"/>
        <v>4457000</v>
      </c>
    </row>
    <row r="83" spans="1:9" s="67" customFormat="1" ht="21" customHeight="1" x14ac:dyDescent="0.3">
      <c r="B83" s="61">
        <v>71</v>
      </c>
      <c r="C83" s="62" t="str">
        <f>DASAR!B72</f>
        <v>WAKORUMBA UTARA</v>
      </c>
      <c r="D83" s="62" t="str">
        <f>DASAR!D72</f>
        <v>WANTULASI</v>
      </c>
      <c r="E83" s="63">
        <f t="shared" si="7"/>
        <v>1705584.6153846155</v>
      </c>
      <c r="F83" s="64">
        <f>DASAR!F72</f>
        <v>3.6261183557093492E-2</v>
      </c>
      <c r="G83" s="65">
        <f t="shared" si="6"/>
        <v>88690400</v>
      </c>
      <c r="H83" s="65">
        <f t="shared" si="8"/>
        <v>3216018.8741520448</v>
      </c>
      <c r="I83" s="66">
        <f t="shared" si="5"/>
        <v>4922000</v>
      </c>
    </row>
    <row r="84" spans="1:9" s="84" customFormat="1" ht="21" customHeight="1" x14ac:dyDescent="0.3">
      <c r="B84" s="78">
        <v>72</v>
      </c>
      <c r="C84" s="79" t="str">
        <f>DASAR!B73</f>
        <v>WAKORUMBA UTARA</v>
      </c>
      <c r="D84" s="79" t="str">
        <f>DASAR!D73</f>
        <v>LABUAN BAJO</v>
      </c>
      <c r="E84" s="80">
        <f t="shared" si="7"/>
        <v>1705584.6153846155</v>
      </c>
      <c r="F84" s="81">
        <f>DASAR!F73</f>
        <v>1.3809220068178326E-2</v>
      </c>
      <c r="G84" s="82">
        <f t="shared" si="6"/>
        <v>88690400</v>
      </c>
      <c r="H84" s="82">
        <f t="shared" si="8"/>
        <v>1224745.251534763</v>
      </c>
      <c r="I84" s="83">
        <f t="shared" si="5"/>
        <v>2930000</v>
      </c>
    </row>
    <row r="85" spans="1:9" s="67" customFormat="1" ht="21" customHeight="1" x14ac:dyDescent="0.3">
      <c r="B85" s="61">
        <v>73</v>
      </c>
      <c r="C85" s="62" t="str">
        <f>DASAR!B74</f>
        <v>WAKORUMBA UTARA</v>
      </c>
      <c r="D85" s="62" t="str">
        <f>DASAR!D74</f>
        <v>LABARAGA</v>
      </c>
      <c r="E85" s="63">
        <f t="shared" si="7"/>
        <v>1705584.6153846155</v>
      </c>
      <c r="F85" s="64">
        <f>DASAR!F74</f>
        <v>9.6062617604062133E-3</v>
      </c>
      <c r="G85" s="65">
        <f t="shared" si="6"/>
        <v>88690400</v>
      </c>
      <c r="H85" s="65">
        <f t="shared" si="8"/>
        <v>851983.19803513121</v>
      </c>
      <c r="I85" s="66">
        <f t="shared" si="5"/>
        <v>2558000</v>
      </c>
    </row>
    <row r="86" spans="1:9" s="84" customFormat="1" ht="21" customHeight="1" x14ac:dyDescent="0.3">
      <c r="B86" s="78">
        <v>74</v>
      </c>
      <c r="C86" s="79" t="str">
        <f>DASAR!B75</f>
        <v>WAKORUMBA UTARA</v>
      </c>
      <c r="D86" s="79" t="str">
        <f>DASAR!D75</f>
        <v>WAMORAPA</v>
      </c>
      <c r="E86" s="80">
        <f t="shared" si="7"/>
        <v>1705584.6153846155</v>
      </c>
      <c r="F86" s="81">
        <f>DASAR!F75</f>
        <v>6.6063657310493247E-3</v>
      </c>
      <c r="G86" s="82">
        <f t="shared" si="6"/>
        <v>88690400</v>
      </c>
      <c r="H86" s="82">
        <f t="shared" si="8"/>
        <v>585921.219233057</v>
      </c>
      <c r="I86" s="83">
        <f t="shared" si="5"/>
        <v>2292000</v>
      </c>
    </row>
    <row r="87" spans="1:9" s="67" customFormat="1" ht="21" customHeight="1" x14ac:dyDescent="0.3">
      <c r="B87" s="61">
        <v>75</v>
      </c>
      <c r="C87" s="62" t="str">
        <f>DASAR!B76</f>
        <v>WAKORUMBA UTARA</v>
      </c>
      <c r="D87" s="62" t="str">
        <f>DASAR!D76</f>
        <v>SUMAMPENO</v>
      </c>
      <c r="E87" s="63">
        <f t="shared" si="7"/>
        <v>1705584.6153846155</v>
      </c>
      <c r="F87" s="64">
        <f>DASAR!F76</f>
        <v>8.1748157942506013E-3</v>
      </c>
      <c r="G87" s="65">
        <f t="shared" si="6"/>
        <v>88690400</v>
      </c>
      <c r="H87" s="65">
        <f t="shared" si="8"/>
        <v>725027.68271840352</v>
      </c>
      <c r="I87" s="66">
        <f t="shared" si="5"/>
        <v>2431000</v>
      </c>
    </row>
    <row r="88" spans="1:9" s="84" customFormat="1" ht="21" customHeight="1" x14ac:dyDescent="0.3">
      <c r="B88" s="78">
        <v>76</v>
      </c>
      <c r="C88" s="79" t="str">
        <f>DASAR!B77</f>
        <v>WAKORUMBA UTARA</v>
      </c>
      <c r="D88" s="79" t="str">
        <f>DASAR!D77</f>
        <v>OENGKAPALA</v>
      </c>
      <c r="E88" s="80">
        <f t="shared" si="7"/>
        <v>1705584.6153846155</v>
      </c>
      <c r="F88" s="81">
        <f>DASAR!F77</f>
        <v>1.175752863601082E-2</v>
      </c>
      <c r="G88" s="82">
        <f t="shared" si="6"/>
        <v>88690400</v>
      </c>
      <c r="H88" s="82">
        <f t="shared" si="8"/>
        <v>1042779.9177392541</v>
      </c>
      <c r="I88" s="83">
        <f t="shared" si="5"/>
        <v>2748000</v>
      </c>
    </row>
    <row r="89" spans="1:9" s="67" customFormat="1" ht="21" customHeight="1" x14ac:dyDescent="0.3">
      <c r="B89" s="61">
        <v>77</v>
      </c>
      <c r="C89" s="62" t="str">
        <f>DASAR!B78</f>
        <v>WAKORUMBA UTARA</v>
      </c>
      <c r="D89" s="62" t="str">
        <f>DASAR!D78</f>
        <v>LABUKO</v>
      </c>
      <c r="E89" s="63">
        <f t="shared" si="7"/>
        <v>1705584.6153846155</v>
      </c>
      <c r="F89" s="64">
        <f>DASAR!F78</f>
        <v>7.7242355930265249E-3</v>
      </c>
      <c r="G89" s="65">
        <f t="shared" si="6"/>
        <v>88690400</v>
      </c>
      <c r="H89" s="65">
        <f t="shared" si="8"/>
        <v>685065.54443975969</v>
      </c>
      <c r="I89" s="66">
        <f t="shared" si="5"/>
        <v>2391000</v>
      </c>
    </row>
    <row r="90" spans="1:9" s="84" customFormat="1" ht="21" customHeight="1" x14ac:dyDescent="0.3">
      <c r="B90" s="78">
        <v>78</v>
      </c>
      <c r="C90" s="79" t="str">
        <f>DASAR!B79</f>
        <v>WAKORUMBA UTARA</v>
      </c>
      <c r="D90" s="79" t="str">
        <f>DASAR!D79</f>
        <v>LABA JAYA</v>
      </c>
      <c r="E90" s="80">
        <f t="shared" si="7"/>
        <v>1705584.6153846155</v>
      </c>
      <c r="F90" s="81">
        <f>DASAR!F79</f>
        <v>2.2731367054540631E-2</v>
      </c>
      <c r="G90" s="82">
        <f t="shared" si="6"/>
        <v>88690400</v>
      </c>
      <c r="H90" s="82">
        <f t="shared" si="8"/>
        <v>2016054.0366140304</v>
      </c>
      <c r="I90" s="83">
        <f t="shared" si="5"/>
        <v>3722000</v>
      </c>
    </row>
    <row r="91" spans="1:9" s="67" customFormat="1" ht="21" customHeight="1" x14ac:dyDescent="0.3">
      <c r="B91" s="61"/>
      <c r="C91" s="62"/>
      <c r="D91" s="62"/>
      <c r="E91" s="68"/>
      <c r="F91" s="69"/>
      <c r="G91" s="61"/>
      <c r="H91" s="61"/>
      <c r="I91" s="70"/>
    </row>
    <row r="92" spans="1:9" s="74" customFormat="1" ht="21" customHeight="1" x14ac:dyDescent="0.25">
      <c r="A92" s="71"/>
      <c r="B92" s="274" t="s">
        <v>27</v>
      </c>
      <c r="C92" s="274"/>
      <c r="D92" s="274"/>
      <c r="E92" s="72">
        <f>SUM(E13:E90)</f>
        <v>133035599.99999975</v>
      </c>
      <c r="F92" s="73">
        <f>DASAR!F81</f>
        <v>0.99999999999999978</v>
      </c>
      <c r="G92" s="72">
        <f t="shared" ref="G92:I92" si="9">SUM(G13:G90)</f>
        <v>6917851200</v>
      </c>
      <c r="H92" s="72">
        <f t="shared" si="9"/>
        <v>88690400</v>
      </c>
      <c r="I92" s="72">
        <f t="shared" si="9"/>
        <v>221726000</v>
      </c>
    </row>
    <row r="93" spans="1:9" s="42" customFormat="1" x14ac:dyDescent="0.3"/>
    <row r="94" spans="1:9" s="42" customFormat="1" x14ac:dyDescent="0.3">
      <c r="C94" s="275" t="s">
        <v>28</v>
      </c>
      <c r="D94" s="276"/>
      <c r="E94" s="277"/>
      <c r="G94" s="275" t="s">
        <v>11</v>
      </c>
      <c r="H94" s="277"/>
    </row>
    <row r="95" spans="1:9" s="42" customFormat="1" x14ac:dyDescent="0.3">
      <c r="C95" s="268" t="s">
        <v>147</v>
      </c>
      <c r="D95" s="269"/>
      <c r="E95" s="34">
        <v>221726000</v>
      </c>
      <c r="F95" s="43"/>
      <c r="G95" s="44" t="s">
        <v>29</v>
      </c>
      <c r="H95" s="45">
        <v>0.25</v>
      </c>
    </row>
    <row r="96" spans="1:9" s="42" customFormat="1" x14ac:dyDescent="0.3">
      <c r="C96" s="278" t="s">
        <v>148</v>
      </c>
      <c r="D96" s="278"/>
      <c r="E96" s="46">
        <f>I92</f>
        <v>221726000</v>
      </c>
      <c r="F96" s="43"/>
      <c r="G96" s="44" t="s">
        <v>30</v>
      </c>
      <c r="H96" s="45">
        <v>0.35</v>
      </c>
    </row>
    <row r="97" spans="2:8" s="42" customFormat="1" x14ac:dyDescent="0.3">
      <c r="C97" s="268" t="s">
        <v>48</v>
      </c>
      <c r="D97" s="269"/>
      <c r="E97" s="34">
        <f>(E95*60%)/78</f>
        <v>1705584.6153846155</v>
      </c>
      <c r="F97" s="43"/>
      <c r="G97" s="44" t="s">
        <v>31</v>
      </c>
      <c r="H97" s="47">
        <v>0.1</v>
      </c>
    </row>
    <row r="98" spans="2:8" s="42" customFormat="1" x14ac:dyDescent="0.3">
      <c r="C98" s="268" t="s">
        <v>56</v>
      </c>
      <c r="D98" s="269"/>
      <c r="E98" s="46">
        <f>E90</f>
        <v>1705584.6153846155</v>
      </c>
      <c r="F98" s="43"/>
      <c r="G98" s="44" t="s">
        <v>8</v>
      </c>
      <c r="H98" s="45">
        <v>0.3</v>
      </c>
    </row>
    <row r="99" spans="2:8" s="42" customFormat="1" x14ac:dyDescent="0.3">
      <c r="C99" s="268" t="s">
        <v>49</v>
      </c>
      <c r="D99" s="269"/>
      <c r="E99" s="48">
        <f>E95*40%</f>
        <v>88690400</v>
      </c>
      <c r="F99" s="43"/>
    </row>
    <row r="100" spans="2:8" s="42" customFormat="1" ht="15" customHeight="1" x14ac:dyDescent="0.3">
      <c r="C100" s="268" t="s">
        <v>57</v>
      </c>
      <c r="D100" s="269"/>
      <c r="E100" s="49">
        <f>H92</f>
        <v>88690400</v>
      </c>
      <c r="F100" s="43"/>
    </row>
    <row r="101" spans="2:8" s="42" customFormat="1" x14ac:dyDescent="0.3">
      <c r="C101" s="268" t="s">
        <v>32</v>
      </c>
      <c r="D101" s="269"/>
      <c r="E101" s="49">
        <v>78</v>
      </c>
      <c r="F101" s="43"/>
    </row>
    <row r="102" spans="2:8" s="35" customFormat="1" x14ac:dyDescent="0.25">
      <c r="B102" s="36"/>
      <c r="C102" s="36"/>
      <c r="D102" s="37"/>
      <c r="E102" s="37"/>
      <c r="H102" s="59"/>
    </row>
    <row r="103" spans="2:8" s="35" customFormat="1" x14ac:dyDescent="0.25">
      <c r="B103" s="36"/>
      <c r="C103" s="36"/>
      <c r="D103" s="38"/>
      <c r="E103" s="39"/>
    </row>
    <row r="104" spans="2:8" s="35" customFormat="1" x14ac:dyDescent="0.25">
      <c r="B104" s="36"/>
      <c r="C104" s="36"/>
      <c r="D104" s="38"/>
      <c r="E104" s="39">
        <f>E95-I92</f>
        <v>0</v>
      </c>
    </row>
    <row r="105" spans="2:8" s="35" customFormat="1" x14ac:dyDescent="0.25">
      <c r="B105" s="36"/>
      <c r="C105" s="36"/>
      <c r="D105" s="40"/>
      <c r="E105" s="39"/>
    </row>
    <row r="106" spans="2:8" s="35" customFormat="1" x14ac:dyDescent="0.25">
      <c r="B106" s="36"/>
      <c r="C106" s="36"/>
      <c r="D106" s="38"/>
      <c r="E106" s="41"/>
    </row>
    <row r="107" spans="2:8" s="35" customFormat="1" x14ac:dyDescent="0.25"/>
    <row r="108" spans="2:8" s="35" customFormat="1" x14ac:dyDescent="0.25"/>
    <row r="109" spans="2:8" s="35" customFormat="1" x14ac:dyDescent="0.25"/>
    <row r="110" spans="2:8" s="35" customFormat="1" x14ac:dyDescent="0.25"/>
  </sheetData>
  <autoFilter ref="A12:I12"/>
  <mergeCells count="19">
    <mergeCell ref="F9:H10"/>
    <mergeCell ref="C95:D95"/>
    <mergeCell ref="C96:D96"/>
    <mergeCell ref="C98:D98"/>
    <mergeCell ref="C99:D99"/>
    <mergeCell ref="C100:D100"/>
    <mergeCell ref="C101:D101"/>
    <mergeCell ref="B1:I1"/>
    <mergeCell ref="B7:I7"/>
    <mergeCell ref="B6:I6"/>
    <mergeCell ref="C97:D97"/>
    <mergeCell ref="B9:B11"/>
    <mergeCell ref="C9:C11"/>
    <mergeCell ref="D9:D11"/>
    <mergeCell ref="E9:E11"/>
    <mergeCell ref="I9:I11"/>
    <mergeCell ref="B92:D92"/>
    <mergeCell ref="C94:E94"/>
    <mergeCell ref="G94:H94"/>
  </mergeCells>
  <phoneticPr fontId="14" type="noConversion"/>
  <pageMargins left="0.23622047244094491" right="0.15748031496062992" top="0.31496062992125984" bottom="0.31496062992125984" header="0.19685039370078741" footer="0.19685039370078741"/>
  <pageSetup paperSize="5" scale="61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T108"/>
  <sheetViews>
    <sheetView view="pageBreakPreview" zoomScaleSheetLayoutView="100" workbookViewId="0">
      <pane xSplit="2" ySplit="9" topLeftCell="C28" activePane="bottomRight" state="frozen"/>
      <selection pane="topRight" activeCell="C1" sqref="C1"/>
      <selection pane="bottomLeft" activeCell="A11" sqref="A11"/>
      <selection pane="bottomRight" activeCell="G18" sqref="G18"/>
    </sheetView>
  </sheetViews>
  <sheetFormatPr defaultColWidth="8.85546875" defaultRowHeight="15" x14ac:dyDescent="0.25"/>
  <cols>
    <col min="1" max="1" width="4.28515625" customWidth="1"/>
    <col min="2" max="2" width="7.28515625" customWidth="1"/>
    <col min="3" max="3" width="19.42578125" customWidth="1"/>
    <col min="4" max="4" width="24.42578125" customWidth="1"/>
    <col min="5" max="5" width="17.85546875" customWidth="1"/>
    <col min="6" max="6" width="9.140625" customWidth="1"/>
    <col min="7" max="7" width="11.7109375" customWidth="1"/>
    <col min="8" max="8" width="14.85546875" customWidth="1"/>
    <col min="9" max="9" width="12.28515625" customWidth="1"/>
    <col min="10" max="10" width="14.28515625" customWidth="1"/>
    <col min="11" max="11" width="12.140625" bestFit="1" customWidth="1"/>
    <col min="12" max="12" width="12.28515625" customWidth="1"/>
    <col min="13" max="14" width="12.140625" bestFit="1" customWidth="1"/>
    <col min="15" max="15" width="10.85546875" customWidth="1"/>
    <col min="16" max="16" width="12.28515625" customWidth="1"/>
    <col min="17" max="17" width="11.85546875" customWidth="1"/>
    <col min="18" max="18" width="19.42578125" customWidth="1"/>
    <col min="19" max="19" width="14.28515625" customWidth="1"/>
    <col min="20" max="20" width="17.28515625" customWidth="1"/>
    <col min="21" max="21" width="10.42578125" customWidth="1"/>
  </cols>
  <sheetData>
    <row r="1" spans="2:20" s="1" customFormat="1" ht="18.75" x14ac:dyDescent="0.3">
      <c r="B1" s="247" t="s">
        <v>0</v>
      </c>
      <c r="C1" s="247"/>
      <c r="D1" s="247"/>
      <c r="E1" s="247"/>
      <c r="F1" s="247"/>
      <c r="G1" s="247"/>
      <c r="H1" s="247"/>
      <c r="I1" s="247"/>
      <c r="J1" s="247"/>
      <c r="K1" s="247"/>
      <c r="L1" s="247"/>
      <c r="M1" s="247"/>
      <c r="N1" s="247"/>
      <c r="O1" s="247"/>
      <c r="P1" s="247"/>
      <c r="Q1" s="247"/>
      <c r="R1" s="247"/>
      <c r="S1" s="247"/>
      <c r="T1" s="247"/>
    </row>
    <row r="2" spans="2:20" ht="18.75" x14ac:dyDescent="0.3"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</row>
    <row r="3" spans="2:20" ht="18.75" x14ac:dyDescent="0.3">
      <c r="B3" s="280" t="s">
        <v>58</v>
      </c>
      <c r="C3" s="280"/>
      <c r="D3" s="280"/>
      <c r="E3" s="280"/>
      <c r="F3" s="280"/>
      <c r="G3" s="280"/>
      <c r="H3" s="280"/>
      <c r="I3" s="280"/>
      <c r="J3" s="280"/>
      <c r="K3" s="280"/>
      <c r="L3" s="280"/>
      <c r="M3" s="280"/>
      <c r="N3" s="280"/>
      <c r="O3" s="280"/>
      <c r="P3" s="280"/>
      <c r="Q3" s="280"/>
      <c r="R3" s="280"/>
      <c r="S3" s="280"/>
      <c r="T3" s="280"/>
    </row>
    <row r="4" spans="2:20" ht="18.75" x14ac:dyDescent="0.3">
      <c r="B4" s="280" t="s">
        <v>59</v>
      </c>
      <c r="C4" s="280"/>
      <c r="D4" s="280"/>
      <c r="E4" s="280"/>
      <c r="F4" s="280"/>
      <c r="G4" s="280"/>
      <c r="H4" s="280"/>
      <c r="I4" s="280"/>
      <c r="J4" s="280"/>
      <c r="K4" s="280"/>
      <c r="L4" s="280"/>
      <c r="M4" s="280"/>
      <c r="N4" s="280"/>
      <c r="O4" s="280"/>
      <c r="P4" s="280"/>
      <c r="Q4" s="280"/>
      <c r="R4" s="280"/>
      <c r="S4" s="280"/>
      <c r="T4" s="280"/>
    </row>
    <row r="5" spans="2:20" ht="18.75" x14ac:dyDescent="0.3"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</row>
    <row r="6" spans="2:20" ht="15" customHeight="1" x14ac:dyDescent="0.25">
      <c r="B6" s="281" t="s">
        <v>1</v>
      </c>
      <c r="C6" s="281" t="s">
        <v>40</v>
      </c>
      <c r="D6" s="281" t="s">
        <v>2</v>
      </c>
      <c r="E6" s="281" t="s">
        <v>3</v>
      </c>
      <c r="F6" s="282" t="s">
        <v>36</v>
      </c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2"/>
      <c r="R6" s="282"/>
      <c r="S6" s="282"/>
      <c r="T6" s="281" t="s">
        <v>4</v>
      </c>
    </row>
    <row r="7" spans="2:20" ht="15" customHeight="1" x14ac:dyDescent="0.25">
      <c r="B7" s="281"/>
      <c r="C7" s="281"/>
      <c r="D7" s="281"/>
      <c r="E7" s="281"/>
      <c r="F7" s="281" t="s">
        <v>5</v>
      </c>
      <c r="G7" s="281"/>
      <c r="H7" s="281"/>
      <c r="I7" s="281" t="s">
        <v>6</v>
      </c>
      <c r="J7" s="281"/>
      <c r="K7" s="281"/>
      <c r="L7" s="281" t="s">
        <v>7</v>
      </c>
      <c r="M7" s="281"/>
      <c r="N7" s="281"/>
      <c r="O7" s="281" t="s">
        <v>8</v>
      </c>
      <c r="P7" s="281"/>
      <c r="Q7" s="281"/>
      <c r="R7" s="281" t="s">
        <v>9</v>
      </c>
      <c r="S7" s="281" t="s">
        <v>36</v>
      </c>
      <c r="T7" s="281"/>
    </row>
    <row r="8" spans="2:20" ht="36" x14ac:dyDescent="0.25">
      <c r="B8" s="281"/>
      <c r="C8" s="281"/>
      <c r="D8" s="281"/>
      <c r="E8" s="281"/>
      <c r="F8" s="21" t="s">
        <v>5</v>
      </c>
      <c r="G8" s="21" t="s">
        <v>10</v>
      </c>
      <c r="H8" s="21" t="s">
        <v>11</v>
      </c>
      <c r="I8" s="21" t="s">
        <v>6</v>
      </c>
      <c r="J8" s="21" t="s">
        <v>12</v>
      </c>
      <c r="K8" s="21" t="s">
        <v>11</v>
      </c>
      <c r="L8" s="21" t="s">
        <v>7</v>
      </c>
      <c r="M8" s="21" t="s">
        <v>13</v>
      </c>
      <c r="N8" s="21" t="s">
        <v>11</v>
      </c>
      <c r="O8" s="21" t="s">
        <v>14</v>
      </c>
      <c r="P8" s="21" t="s">
        <v>15</v>
      </c>
      <c r="Q8" s="21" t="s">
        <v>11</v>
      </c>
      <c r="R8" s="281"/>
      <c r="S8" s="281"/>
      <c r="T8" s="281"/>
    </row>
    <row r="9" spans="2:20" s="2" customFormat="1" ht="12" x14ac:dyDescent="0.2">
      <c r="B9" s="17" t="s">
        <v>16</v>
      </c>
      <c r="C9" s="17" t="s">
        <v>17</v>
      </c>
      <c r="D9" s="17" t="s">
        <v>18</v>
      </c>
      <c r="E9" s="17" t="s">
        <v>19</v>
      </c>
      <c r="F9" s="17" t="s">
        <v>20</v>
      </c>
      <c r="G9" s="17" t="s">
        <v>37</v>
      </c>
      <c r="H9" s="17" t="s">
        <v>21</v>
      </c>
      <c r="I9" s="17" t="s">
        <v>22</v>
      </c>
      <c r="J9" s="17" t="s">
        <v>38</v>
      </c>
      <c r="K9" s="17" t="s">
        <v>23</v>
      </c>
      <c r="L9" s="17" t="s">
        <v>24</v>
      </c>
      <c r="M9" s="17" t="s">
        <v>39</v>
      </c>
      <c r="N9" s="17" t="s">
        <v>25</v>
      </c>
      <c r="O9" s="17" t="s">
        <v>26</v>
      </c>
      <c r="P9" s="17" t="s">
        <v>41</v>
      </c>
      <c r="Q9" s="17" t="s">
        <v>42</v>
      </c>
      <c r="R9" s="17" t="s">
        <v>43</v>
      </c>
      <c r="S9" s="17" t="s">
        <v>44</v>
      </c>
      <c r="T9" s="18" t="s">
        <v>45</v>
      </c>
    </row>
    <row r="10" spans="2:20" s="2" customFormat="1" ht="18" x14ac:dyDescent="0.25">
      <c r="B10" s="17">
        <v>1</v>
      </c>
      <c r="C10" s="28" t="str">
        <f>DASAR!B2</f>
        <v>KULISUSU</v>
      </c>
      <c r="D10" s="28" t="str">
        <f>DASAR!D2</f>
        <v>TRIWACUWACU</v>
      </c>
      <c r="E10" s="25"/>
      <c r="F10" s="29"/>
      <c r="G10" s="2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8"/>
    </row>
    <row r="11" spans="2:20" s="2" customFormat="1" ht="18" x14ac:dyDescent="0.25">
      <c r="B11" s="17">
        <v>2</v>
      </c>
      <c r="C11" s="28" t="str">
        <f>DASAR!B3</f>
        <v>KULISUSU</v>
      </c>
      <c r="D11" s="28" t="str">
        <f>DASAR!D3</f>
        <v>WACULAEA</v>
      </c>
      <c r="E11" s="25"/>
      <c r="F11" s="29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8"/>
    </row>
    <row r="12" spans="2:20" s="2" customFormat="1" ht="18" x14ac:dyDescent="0.25">
      <c r="B12" s="17">
        <v>3</v>
      </c>
      <c r="C12" s="28" t="str">
        <f>DASAR!B4</f>
        <v>KULISUSU</v>
      </c>
      <c r="D12" s="28" t="str">
        <f>DASAR!D4</f>
        <v>E'ELAHAJI</v>
      </c>
      <c r="E12" s="25"/>
      <c r="F12" s="29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8"/>
    </row>
    <row r="13" spans="2:20" s="2" customFormat="1" ht="18" x14ac:dyDescent="0.25">
      <c r="B13" s="17">
        <v>4</v>
      </c>
      <c r="C13" s="28" t="str">
        <f>DASAR!B5</f>
        <v>KULISUSU</v>
      </c>
      <c r="D13" s="28" t="str">
        <f>DASAR!D5</f>
        <v>TOMOAHI</v>
      </c>
      <c r="E13" s="25"/>
      <c r="F13" s="29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8"/>
    </row>
    <row r="14" spans="2:20" s="2" customFormat="1" ht="18" x14ac:dyDescent="0.25">
      <c r="B14" s="17">
        <v>5</v>
      </c>
      <c r="C14" s="28" t="str">
        <f>DASAR!B6</f>
        <v>KULISUSU</v>
      </c>
      <c r="D14" s="28" t="str">
        <f>DASAR!D6</f>
        <v>KALIBU</v>
      </c>
      <c r="E14" s="25"/>
      <c r="F14" s="29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8"/>
    </row>
    <row r="15" spans="2:20" s="2" customFormat="1" ht="18" x14ac:dyDescent="0.25">
      <c r="B15" s="17">
        <v>6</v>
      </c>
      <c r="C15" s="28" t="str">
        <f>DASAR!B7</f>
        <v>KULISUSU</v>
      </c>
      <c r="D15" s="28" t="str">
        <f>DASAR!D7</f>
        <v>JAMPAKA</v>
      </c>
      <c r="E15" s="25"/>
      <c r="F15" s="29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8"/>
    </row>
    <row r="16" spans="2:20" s="2" customFormat="1" ht="18" x14ac:dyDescent="0.25">
      <c r="B16" s="17">
        <v>7</v>
      </c>
      <c r="C16" s="28" t="str">
        <f>DASAR!B8</f>
        <v>KULISUSU</v>
      </c>
      <c r="D16" s="28" t="str">
        <f>DASAR!D8</f>
        <v>LOJI</v>
      </c>
      <c r="E16" s="25"/>
      <c r="F16" s="29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8"/>
    </row>
    <row r="17" spans="2:20" s="2" customFormat="1" ht="18" x14ac:dyDescent="0.25">
      <c r="B17" s="17">
        <v>8</v>
      </c>
      <c r="C17" s="28" t="str">
        <f>DASAR!B9</f>
        <v>KULISUSU</v>
      </c>
      <c r="D17" s="28" t="str">
        <f>DASAR!D9</f>
        <v>LINSOWU</v>
      </c>
      <c r="E17" s="25"/>
      <c r="F17" s="29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8"/>
    </row>
    <row r="18" spans="2:20" s="2" customFormat="1" ht="18" x14ac:dyDescent="0.25">
      <c r="B18" s="17">
        <v>9</v>
      </c>
      <c r="C18" s="28" t="str">
        <f>DASAR!B10</f>
        <v>KULISUSU</v>
      </c>
      <c r="D18" s="28" t="str">
        <f>DASAR!D10</f>
        <v>ROMBO</v>
      </c>
      <c r="E18" s="25"/>
      <c r="F18" s="29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8"/>
    </row>
    <row r="19" spans="2:20" s="2" customFormat="1" ht="18" x14ac:dyDescent="0.25">
      <c r="B19" s="17">
        <v>10</v>
      </c>
      <c r="C19" s="28" t="str">
        <f>DASAR!B11</f>
        <v>KULISUSU</v>
      </c>
      <c r="D19" s="28" t="str">
        <f>DASAR!D11</f>
        <v>WASALABOSE</v>
      </c>
      <c r="E19" s="25"/>
      <c r="F19" s="29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8"/>
    </row>
    <row r="20" spans="2:20" s="2" customFormat="1" ht="18" x14ac:dyDescent="0.25">
      <c r="B20" s="17">
        <v>11</v>
      </c>
      <c r="C20" s="28" t="str">
        <f>DASAR!B12</f>
        <v>KULISUSU</v>
      </c>
      <c r="D20" s="28" t="str">
        <f>DASAR!D12</f>
        <v>MALALANDA</v>
      </c>
      <c r="E20" s="25"/>
      <c r="F20" s="29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8"/>
    </row>
    <row r="21" spans="2:20" s="2" customFormat="1" ht="18" x14ac:dyDescent="0.25">
      <c r="B21" s="17">
        <v>12</v>
      </c>
      <c r="C21" s="28" t="str">
        <f>DASAR!B13</f>
        <v>KULISUSU</v>
      </c>
      <c r="D21" s="28" t="str">
        <f>DASAR!D13</f>
        <v>LEMO'EA</v>
      </c>
      <c r="E21" s="25"/>
      <c r="F21" s="29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8"/>
    </row>
    <row r="22" spans="2:20" s="2" customFormat="1" ht="18" x14ac:dyDescent="0.25">
      <c r="B22" s="17">
        <v>13</v>
      </c>
      <c r="C22" s="28" t="str">
        <f>DASAR!B14</f>
        <v>KULISUSU</v>
      </c>
      <c r="D22" s="28" t="str">
        <f>DASAR!D14</f>
        <v>LANTAGI</v>
      </c>
      <c r="E22" s="25"/>
      <c r="F22" s="29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8"/>
    </row>
    <row r="23" spans="2:20" s="2" customFormat="1" ht="18" x14ac:dyDescent="0.25">
      <c r="B23" s="17">
        <v>14</v>
      </c>
      <c r="C23" s="28" t="str">
        <f>DASAR!B15</f>
        <v>KULISUSU</v>
      </c>
      <c r="D23" s="28" t="str">
        <f>DASAR!D15</f>
        <v>LAANGKE</v>
      </c>
      <c r="E23" s="25"/>
      <c r="F23" s="29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8"/>
    </row>
    <row r="24" spans="2:20" s="2" customFormat="1" ht="18" x14ac:dyDescent="0.25">
      <c r="B24" s="17">
        <v>15</v>
      </c>
      <c r="C24" s="28" t="str">
        <f>DASAR!B16</f>
        <v>KULISUSU</v>
      </c>
      <c r="D24" s="28" t="str">
        <f>DASAR!D16</f>
        <v>KADACUA</v>
      </c>
      <c r="E24" s="25"/>
      <c r="F24" s="29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8"/>
    </row>
    <row r="25" spans="2:20" s="2" customFormat="1" ht="18" x14ac:dyDescent="0.25">
      <c r="B25" s="17">
        <v>16</v>
      </c>
      <c r="C25" s="28" t="str">
        <f>DASAR!B17</f>
        <v>KULISUSU</v>
      </c>
      <c r="D25" s="28" t="str">
        <f>DASAR!D17</f>
        <v>BANU-BANUA JAYA</v>
      </c>
      <c r="E25" s="25"/>
      <c r="F25" s="29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8"/>
    </row>
    <row r="26" spans="2:20" s="2" customFormat="1" ht="18" x14ac:dyDescent="0.25">
      <c r="B26" s="17">
        <v>17</v>
      </c>
      <c r="C26" s="28" t="str">
        <f>DASAR!B18</f>
        <v>KAMBOWA</v>
      </c>
      <c r="D26" s="28" t="str">
        <f>DASAR!D18</f>
        <v>BUBU</v>
      </c>
      <c r="E26" s="25"/>
      <c r="F26" s="29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8"/>
    </row>
    <row r="27" spans="2:20" s="2" customFormat="1" ht="18" x14ac:dyDescent="0.25">
      <c r="B27" s="17">
        <v>18</v>
      </c>
      <c r="C27" s="28" t="str">
        <f>DASAR!B19</f>
        <v>KAMBOWA</v>
      </c>
      <c r="D27" s="28" t="str">
        <f>DASAR!D19</f>
        <v>LAHUMOKO</v>
      </c>
      <c r="E27" s="25"/>
      <c r="F27" s="29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8"/>
    </row>
    <row r="28" spans="2:20" s="2" customFormat="1" ht="18" x14ac:dyDescent="0.25">
      <c r="B28" s="17">
        <v>19</v>
      </c>
      <c r="C28" s="28" t="str">
        <f>DASAR!B20</f>
        <v>KAMBOWA</v>
      </c>
      <c r="D28" s="28" t="str">
        <f>DASAR!D20</f>
        <v>MORINDINO</v>
      </c>
      <c r="E28" s="25"/>
      <c r="F28" s="29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8"/>
    </row>
    <row r="29" spans="2:20" s="2" customFormat="1" ht="18" x14ac:dyDescent="0.25">
      <c r="B29" s="17">
        <v>20</v>
      </c>
      <c r="C29" s="28" t="str">
        <f>DASAR!B21</f>
        <v>KAMBOWA</v>
      </c>
      <c r="D29" s="28" t="str">
        <f>DASAR!D21</f>
        <v>PONGKOWULU</v>
      </c>
      <c r="E29" s="25"/>
      <c r="F29" s="29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8"/>
    </row>
    <row r="30" spans="2:20" s="2" customFormat="1" ht="18" x14ac:dyDescent="0.25">
      <c r="B30" s="17">
        <v>21</v>
      </c>
      <c r="C30" s="28" t="str">
        <f>DASAR!B22</f>
        <v>KAMBOWA</v>
      </c>
      <c r="D30" s="28" t="str">
        <f>DASAR!D22</f>
        <v>LAGUNDI</v>
      </c>
      <c r="E30" s="25"/>
      <c r="F30" s="29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8"/>
    </row>
    <row r="31" spans="2:20" s="2" customFormat="1" ht="18" x14ac:dyDescent="0.25">
      <c r="B31" s="17">
        <v>22</v>
      </c>
      <c r="C31" s="28" t="str">
        <f>DASAR!B23</f>
        <v>KAMBOWA</v>
      </c>
      <c r="D31" s="28" t="str">
        <f>DASAR!D23</f>
        <v>KONDE</v>
      </c>
      <c r="E31" s="25"/>
      <c r="F31" s="29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8"/>
    </row>
    <row r="32" spans="2:20" s="2" customFormat="1" ht="18" x14ac:dyDescent="0.25">
      <c r="B32" s="17">
        <v>23</v>
      </c>
      <c r="C32" s="28" t="str">
        <f>DASAR!B24</f>
        <v>KAMBOWA</v>
      </c>
      <c r="D32" s="28" t="str">
        <f>DASAR!D24</f>
        <v>MATA</v>
      </c>
      <c r="E32" s="25"/>
      <c r="F32" s="29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8"/>
    </row>
    <row r="33" spans="2:20" s="2" customFormat="1" ht="18" x14ac:dyDescent="0.25">
      <c r="B33" s="17">
        <v>24</v>
      </c>
      <c r="C33" s="28" t="str">
        <f>DASAR!B25</f>
        <v>KAMBOWA</v>
      </c>
      <c r="D33" s="28" t="str">
        <f>DASAR!D25</f>
        <v>BUBU BARAT</v>
      </c>
      <c r="E33" s="25"/>
      <c r="F33" s="29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8"/>
    </row>
    <row r="34" spans="2:20" s="2" customFormat="1" ht="18" x14ac:dyDescent="0.25">
      <c r="B34" s="17">
        <v>25</v>
      </c>
      <c r="C34" s="28" t="str">
        <f>DASAR!B26</f>
        <v>KAMBOWA</v>
      </c>
      <c r="D34" s="28" t="str">
        <f>DASAR!D26</f>
        <v>BENTE</v>
      </c>
      <c r="E34" s="25"/>
      <c r="F34" s="29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8"/>
    </row>
    <row r="35" spans="2:20" s="2" customFormat="1" ht="18" x14ac:dyDescent="0.25">
      <c r="B35" s="17">
        <v>26</v>
      </c>
      <c r="C35" s="28" t="str">
        <f>DASAR!B27</f>
        <v>KAMBOWA</v>
      </c>
      <c r="D35" s="28" t="str">
        <f>DASAR!D27</f>
        <v>BALUARA</v>
      </c>
      <c r="E35" s="25"/>
      <c r="F35" s="29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8"/>
    </row>
    <row r="36" spans="2:20" s="2" customFormat="1" ht="18" x14ac:dyDescent="0.25">
      <c r="B36" s="17">
        <v>27</v>
      </c>
      <c r="C36" s="28" t="str">
        <f>DASAR!B28</f>
        <v>BONEGUNU</v>
      </c>
      <c r="D36" s="28" t="str">
        <f>DASAR!D28</f>
        <v>GUNUNG SARI</v>
      </c>
      <c r="E36" s="25"/>
      <c r="F36" s="29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8"/>
    </row>
    <row r="37" spans="2:20" s="2" customFormat="1" ht="18" x14ac:dyDescent="0.25">
      <c r="B37" s="17">
        <v>28</v>
      </c>
      <c r="C37" s="28" t="str">
        <f>DASAR!B29</f>
        <v>BONEGUNU</v>
      </c>
      <c r="D37" s="28" t="str">
        <f>DASAR!D29</f>
        <v>RONTA</v>
      </c>
      <c r="E37" s="25"/>
      <c r="F37" s="29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8"/>
    </row>
    <row r="38" spans="2:20" s="2" customFormat="1" ht="18" x14ac:dyDescent="0.25">
      <c r="B38" s="17">
        <v>29</v>
      </c>
      <c r="C38" s="28" t="str">
        <f>DASAR!B30</f>
        <v>BONEGUNU</v>
      </c>
      <c r="D38" s="28" t="str">
        <f>DASAR!D30</f>
        <v>WAODE ANGKALO</v>
      </c>
      <c r="E38" s="25"/>
      <c r="F38" s="29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8"/>
    </row>
    <row r="39" spans="2:20" s="2" customFormat="1" ht="18" x14ac:dyDescent="0.25">
      <c r="B39" s="17">
        <v>30</v>
      </c>
      <c r="C39" s="28" t="str">
        <f>DASAR!B31</f>
        <v>BONEGUNU</v>
      </c>
      <c r="D39" s="28" t="str">
        <f>DASAR!D31</f>
        <v>LANGERE</v>
      </c>
      <c r="E39" s="25"/>
      <c r="F39" s="29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8"/>
    </row>
    <row r="40" spans="2:20" s="2" customFormat="1" ht="18" x14ac:dyDescent="0.25">
      <c r="B40" s="17">
        <v>31</v>
      </c>
      <c r="C40" s="28" t="str">
        <f>DASAR!B32</f>
        <v>BONEGUNU</v>
      </c>
      <c r="D40" s="28" t="str">
        <f>DASAR!D32</f>
        <v>KOEPISINO</v>
      </c>
      <c r="E40" s="25"/>
      <c r="F40" s="29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8"/>
    </row>
    <row r="41" spans="2:20" s="2" customFormat="1" ht="18" x14ac:dyDescent="0.25">
      <c r="B41" s="17">
        <v>32</v>
      </c>
      <c r="C41" s="28" t="str">
        <f>DASAR!B33</f>
        <v>BONEGUNU</v>
      </c>
      <c r="D41" s="28" t="str">
        <f>DASAR!D33</f>
        <v>WAODE KALOWO</v>
      </c>
      <c r="E41" s="25"/>
      <c r="F41" s="29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8"/>
    </row>
    <row r="42" spans="2:20" s="2" customFormat="1" ht="18" x14ac:dyDescent="0.25">
      <c r="B42" s="17">
        <v>33</v>
      </c>
      <c r="C42" s="28" t="str">
        <f>DASAR!B34</f>
        <v>BONEGUNU</v>
      </c>
      <c r="D42" s="28" t="str">
        <f>DASAR!D34</f>
        <v>LAANO IPI</v>
      </c>
      <c r="E42" s="25"/>
      <c r="F42" s="29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8"/>
    </row>
    <row r="43" spans="2:20" s="2" customFormat="1" ht="18" x14ac:dyDescent="0.25">
      <c r="B43" s="17">
        <v>34</v>
      </c>
      <c r="C43" s="28" t="str">
        <f>DASAR!B35</f>
        <v>BONEGUNU</v>
      </c>
      <c r="D43" s="28" t="str">
        <f>DASAR!D35</f>
        <v>EENSUMALA</v>
      </c>
      <c r="E43" s="25"/>
      <c r="F43" s="29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8"/>
    </row>
    <row r="44" spans="2:20" s="2" customFormat="1" ht="18" x14ac:dyDescent="0.25">
      <c r="B44" s="17">
        <v>35</v>
      </c>
      <c r="C44" s="28" t="str">
        <f>DASAR!B36</f>
        <v>BONEGUNU</v>
      </c>
      <c r="D44" s="28" t="str">
        <f>DASAR!D36</f>
        <v>TATOMBULI</v>
      </c>
      <c r="E44" s="25"/>
      <c r="F44" s="29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8"/>
    </row>
    <row r="45" spans="2:20" s="2" customFormat="1" ht="18" x14ac:dyDescent="0.25">
      <c r="B45" s="17">
        <v>36</v>
      </c>
      <c r="C45" s="28" t="str">
        <f>DASAR!B37</f>
        <v>BONEGUNU</v>
      </c>
      <c r="D45" s="28" t="str">
        <f>DASAR!D37</f>
        <v>RANTE GOLA</v>
      </c>
      <c r="E45" s="25"/>
      <c r="F45" s="29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8"/>
    </row>
    <row r="46" spans="2:20" s="2" customFormat="1" ht="18" x14ac:dyDescent="0.25">
      <c r="B46" s="17">
        <v>37</v>
      </c>
      <c r="C46" s="28" t="str">
        <f>DASAR!B38</f>
        <v>BONEGUNU</v>
      </c>
      <c r="D46" s="28" t="str">
        <f>DASAR!D38</f>
        <v>NGAPA'EA</v>
      </c>
      <c r="E46" s="25"/>
      <c r="F46" s="29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8"/>
    </row>
    <row r="47" spans="2:20" s="2" customFormat="1" ht="18" x14ac:dyDescent="0.25">
      <c r="B47" s="17">
        <v>38</v>
      </c>
      <c r="C47" s="28" t="str">
        <f>DASAR!B39</f>
        <v>BONEGUNU</v>
      </c>
      <c r="D47" s="28" t="str">
        <f>DASAR!D39</f>
        <v>KOBORUNO</v>
      </c>
      <c r="E47" s="25"/>
      <c r="F47" s="29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8"/>
    </row>
    <row r="48" spans="2:20" s="2" customFormat="1" ht="18" x14ac:dyDescent="0.25">
      <c r="B48" s="17">
        <v>39</v>
      </c>
      <c r="C48" s="28" t="str">
        <f>DASAR!B40</f>
        <v>BONEGUNU</v>
      </c>
      <c r="D48" s="28" t="str">
        <f>DASAR!D40</f>
        <v>DAMAI LABORONA</v>
      </c>
      <c r="E48" s="25"/>
      <c r="F48" s="29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8"/>
    </row>
    <row r="49" spans="2:20" s="2" customFormat="1" ht="18" x14ac:dyDescent="0.25">
      <c r="B49" s="17">
        <v>40</v>
      </c>
      <c r="C49" s="28" t="str">
        <f>DASAR!B41</f>
        <v>KULISUSU BARAT</v>
      </c>
      <c r="D49" s="28" t="str">
        <f>DASAR!D41</f>
        <v>KOTAWO</v>
      </c>
      <c r="E49" s="25"/>
      <c r="F49" s="29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8"/>
    </row>
    <row r="50" spans="2:20" s="2" customFormat="1" ht="18" x14ac:dyDescent="0.25">
      <c r="B50" s="17">
        <v>41</v>
      </c>
      <c r="C50" s="28" t="str">
        <f>DASAR!B42</f>
        <v>KULISUSU BARAT</v>
      </c>
      <c r="D50" s="28" t="str">
        <f>DASAR!D42</f>
        <v>KARYA BHAKTI</v>
      </c>
      <c r="E50" s="25"/>
      <c r="F50" s="29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8"/>
    </row>
    <row r="51" spans="2:20" s="2" customFormat="1" ht="18" x14ac:dyDescent="0.25">
      <c r="B51" s="17">
        <v>42</v>
      </c>
      <c r="C51" s="28" t="str">
        <f>DASAR!B43</f>
        <v>KULISUSU BARAT</v>
      </c>
      <c r="D51" s="28" t="str">
        <f>DASAR!D43</f>
        <v>MARGAKARYA</v>
      </c>
      <c r="E51" s="25"/>
      <c r="F51" s="29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8"/>
    </row>
    <row r="52" spans="2:20" s="2" customFormat="1" ht="18" x14ac:dyDescent="0.25">
      <c r="B52" s="17">
        <v>43</v>
      </c>
      <c r="C52" s="28" t="str">
        <f>DASAR!B44</f>
        <v>KULISUSU BARAT</v>
      </c>
      <c r="D52" s="28" t="str">
        <f>DASAR!D44</f>
        <v>KASULATOMBI</v>
      </c>
      <c r="E52" s="25"/>
      <c r="F52" s="29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8"/>
    </row>
    <row r="53" spans="2:20" s="2" customFormat="1" ht="18" x14ac:dyDescent="0.25">
      <c r="B53" s="17">
        <v>44</v>
      </c>
      <c r="C53" s="28" t="str">
        <f>DASAR!B45</f>
        <v>KULISUSU BARAT</v>
      </c>
      <c r="D53" s="28" t="str">
        <f>DASAR!D45</f>
        <v>DAMPALA JAYA</v>
      </c>
      <c r="E53" s="25"/>
      <c r="F53" s="29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8"/>
    </row>
    <row r="54" spans="2:20" s="2" customFormat="1" ht="18" x14ac:dyDescent="0.25">
      <c r="B54" s="17">
        <v>45</v>
      </c>
      <c r="C54" s="28" t="str">
        <f>DASAR!B46</f>
        <v>KULISUSU BARAT</v>
      </c>
      <c r="D54" s="28" t="str">
        <f>DASAR!D46</f>
        <v>RAHMAT BARU</v>
      </c>
      <c r="E54" s="25"/>
      <c r="F54" s="29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8"/>
    </row>
    <row r="55" spans="2:20" s="2" customFormat="1" ht="18" x14ac:dyDescent="0.25">
      <c r="B55" s="17">
        <v>46</v>
      </c>
      <c r="C55" s="28" t="str">
        <f>DASAR!B47</f>
        <v>KULISUSU BARAT</v>
      </c>
      <c r="D55" s="28" t="str">
        <f>DASAR!D47</f>
        <v>SOLOY AGUNG</v>
      </c>
      <c r="E55" s="25"/>
      <c r="F55" s="29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8"/>
    </row>
    <row r="56" spans="2:20" s="2" customFormat="1" ht="18" x14ac:dyDescent="0.25">
      <c r="B56" s="17">
        <v>47</v>
      </c>
      <c r="C56" s="28" t="str">
        <f>DASAR!B48</f>
        <v>KULISUSU BARAT</v>
      </c>
      <c r="D56" s="28" t="str">
        <f>DASAR!D48</f>
        <v>BUMI LAPERO</v>
      </c>
      <c r="E56" s="25"/>
      <c r="F56" s="29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8"/>
    </row>
    <row r="57" spans="2:20" s="2" customFormat="1" ht="18" x14ac:dyDescent="0.25">
      <c r="B57" s="17">
        <v>48</v>
      </c>
      <c r="C57" s="28" t="str">
        <f>DASAR!B49</f>
        <v>KULISUSU BARAT</v>
      </c>
      <c r="D57" s="28" t="str">
        <f>DASAR!D49</f>
        <v>KARYA MULYA</v>
      </c>
      <c r="E57" s="25"/>
      <c r="F57" s="29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8"/>
    </row>
    <row r="58" spans="2:20" s="2" customFormat="1" ht="18" x14ac:dyDescent="0.25">
      <c r="B58" s="17">
        <v>49</v>
      </c>
      <c r="C58" s="28" t="str">
        <f>DASAR!B50</f>
        <v>KULISUSU BARAT</v>
      </c>
      <c r="D58" s="28" t="str">
        <f>DASAR!D50</f>
        <v>LAMBALE</v>
      </c>
      <c r="E58" s="25"/>
      <c r="F58" s="29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8"/>
    </row>
    <row r="59" spans="2:20" s="2" customFormat="1" ht="18" x14ac:dyDescent="0.25">
      <c r="B59" s="17">
        <v>50</v>
      </c>
      <c r="C59" s="28" t="str">
        <f>DASAR!B51</f>
        <v>KULISUSU BARAT</v>
      </c>
      <c r="D59" s="28" t="str">
        <f>DASAR!D51</f>
        <v>LAPANDEWA</v>
      </c>
      <c r="E59" s="25"/>
      <c r="F59" s="29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8"/>
    </row>
    <row r="60" spans="2:20" s="2" customFormat="1" ht="18" x14ac:dyDescent="0.25">
      <c r="B60" s="17">
        <v>51</v>
      </c>
      <c r="C60" s="28" t="str">
        <f>DASAR!B52</f>
        <v>KULISUSU BARAT</v>
      </c>
      <c r="D60" s="28" t="str">
        <f>DASAR!D52</f>
        <v>LAUKI</v>
      </c>
      <c r="E60" s="25"/>
      <c r="F60" s="29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8"/>
    </row>
    <row r="61" spans="2:20" s="2" customFormat="1" ht="18" x14ac:dyDescent="0.25">
      <c r="B61" s="17">
        <v>52</v>
      </c>
      <c r="C61" s="28" t="str">
        <f>DASAR!B53</f>
        <v>KULISUSU BARAT</v>
      </c>
      <c r="D61" s="28" t="str">
        <f>DASAR!D53</f>
        <v>MEKAR JAYA</v>
      </c>
      <c r="E61" s="25"/>
      <c r="F61" s="29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8"/>
    </row>
    <row r="62" spans="2:20" s="2" customFormat="1" ht="18" x14ac:dyDescent="0.25">
      <c r="B62" s="17">
        <v>53</v>
      </c>
      <c r="C62" s="28" t="str">
        <f>DASAR!B54</f>
        <v>KULISUSU BARAT</v>
      </c>
      <c r="D62" s="28" t="str">
        <f>DASAR!D54</f>
        <v>LABULANDA</v>
      </c>
      <c r="E62" s="25"/>
      <c r="F62" s="29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8"/>
    </row>
    <row r="63" spans="2:20" s="2" customFormat="1" ht="18" x14ac:dyDescent="0.25">
      <c r="B63" s="17">
        <v>54</v>
      </c>
      <c r="C63" s="28" t="str">
        <f>DASAR!B55</f>
        <v>KULISUSU UTARA</v>
      </c>
      <c r="D63" s="28" t="str">
        <f>DASAR!D55</f>
        <v>KOROLABU</v>
      </c>
      <c r="E63" s="25"/>
      <c r="F63" s="29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8"/>
    </row>
    <row r="64" spans="2:20" s="2" customFormat="1" ht="18" x14ac:dyDescent="0.25">
      <c r="B64" s="17">
        <v>55</v>
      </c>
      <c r="C64" s="28" t="str">
        <f>DASAR!B56</f>
        <v>KULISUSU UTARA</v>
      </c>
      <c r="D64" s="28" t="str">
        <f>DASAR!D56</f>
        <v>TOROMBIA</v>
      </c>
      <c r="E64" s="25"/>
      <c r="F64" s="29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8"/>
    </row>
    <row r="65" spans="2:20" s="2" customFormat="1" ht="18" x14ac:dyDescent="0.25">
      <c r="B65" s="17">
        <v>56</v>
      </c>
      <c r="C65" s="28" t="str">
        <f>DASAR!B57</f>
        <v>KULISUSU UTARA</v>
      </c>
      <c r="D65" s="28" t="str">
        <f>DASAR!D57</f>
        <v>LAMOAHI</v>
      </c>
      <c r="E65" s="25"/>
      <c r="F65" s="29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8"/>
    </row>
    <row r="66" spans="2:20" s="2" customFormat="1" ht="18" x14ac:dyDescent="0.25">
      <c r="B66" s="17">
        <v>57</v>
      </c>
      <c r="C66" s="28" t="str">
        <f>DASAR!B58</f>
        <v>KULISUSU UTARA</v>
      </c>
      <c r="D66" s="28" t="str">
        <f>DASAR!D58</f>
        <v>LANOSANGIA</v>
      </c>
      <c r="E66" s="25"/>
      <c r="F66" s="29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8"/>
    </row>
    <row r="67" spans="2:20" s="2" customFormat="1" ht="18" x14ac:dyDescent="0.25">
      <c r="B67" s="17">
        <v>58</v>
      </c>
      <c r="C67" s="28" t="str">
        <f>DASAR!B59</f>
        <v>KULISUSU UTARA</v>
      </c>
      <c r="D67" s="28" t="str">
        <f>DASAR!D59</f>
        <v>PEBAOA</v>
      </c>
      <c r="E67" s="25"/>
      <c r="F67" s="29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8"/>
    </row>
    <row r="68" spans="2:20" s="2" customFormat="1" ht="18" x14ac:dyDescent="0.25">
      <c r="B68" s="17">
        <v>59</v>
      </c>
      <c r="C68" s="28" t="str">
        <f>DASAR!B60</f>
        <v>KULISUSU UTARA</v>
      </c>
      <c r="D68" s="28" t="str">
        <f>DASAR!D60</f>
        <v>PETETEA'A</v>
      </c>
      <c r="E68" s="25"/>
      <c r="F68" s="29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8"/>
    </row>
    <row r="69" spans="2:20" s="2" customFormat="1" ht="18" x14ac:dyDescent="0.25">
      <c r="B69" s="17">
        <v>60</v>
      </c>
      <c r="C69" s="28" t="str">
        <f>DASAR!B61</f>
        <v>KULISUSU UTARA</v>
      </c>
      <c r="D69" s="28" t="str">
        <f>DASAR!D61</f>
        <v>LELAMO</v>
      </c>
      <c r="E69" s="25"/>
      <c r="F69" s="29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8"/>
    </row>
    <row r="70" spans="2:20" s="2" customFormat="1" ht="18" x14ac:dyDescent="0.25">
      <c r="B70" s="17">
        <v>61</v>
      </c>
      <c r="C70" s="28" t="str">
        <f>DASAR!B62</f>
        <v>KULISUSU UTARA</v>
      </c>
      <c r="D70" s="28" t="str">
        <f>DASAR!D62</f>
        <v>WAODEBURI</v>
      </c>
      <c r="E70" s="25"/>
      <c r="F70" s="29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8"/>
    </row>
    <row r="71" spans="2:20" s="2" customFormat="1" ht="18" x14ac:dyDescent="0.25">
      <c r="B71" s="17">
        <v>62</v>
      </c>
      <c r="C71" s="28" t="str">
        <f>DASAR!B63</f>
        <v>KULISUSU UTARA</v>
      </c>
      <c r="D71" s="28" t="str">
        <f>DASAR!D63</f>
        <v>ULU NAMBO</v>
      </c>
      <c r="E71" s="25"/>
      <c r="F71" s="29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8"/>
    </row>
    <row r="72" spans="2:20" s="2" customFormat="1" ht="18" x14ac:dyDescent="0.25">
      <c r="B72" s="17">
        <v>63</v>
      </c>
      <c r="C72" s="28" t="str">
        <f>DASAR!B64</f>
        <v>KULISUSU UTARA</v>
      </c>
      <c r="D72" s="28" t="str">
        <f>DASAR!D64</f>
        <v>BIRA</v>
      </c>
      <c r="E72" s="25"/>
      <c r="F72" s="29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8"/>
    </row>
    <row r="73" spans="2:20" s="2" customFormat="1" ht="18" x14ac:dyDescent="0.25">
      <c r="B73" s="17">
        <v>64</v>
      </c>
      <c r="C73" s="28" t="str">
        <f>DASAR!B65</f>
        <v>KULISUSU UTARA</v>
      </c>
      <c r="D73" s="28" t="str">
        <f>DASAR!D65</f>
        <v>E'ERINERE</v>
      </c>
      <c r="E73" s="25"/>
      <c r="F73" s="29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8"/>
    </row>
    <row r="74" spans="2:20" s="2" customFormat="1" ht="18" x14ac:dyDescent="0.25">
      <c r="B74" s="17">
        <v>65</v>
      </c>
      <c r="C74" s="28" t="str">
        <f>DASAR!B66</f>
        <v>KULISUSU UTARA</v>
      </c>
      <c r="D74" s="28" t="str">
        <f>DASAR!D66</f>
        <v>LABELETE</v>
      </c>
      <c r="E74" s="25"/>
      <c r="F74" s="29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8"/>
    </row>
    <row r="75" spans="2:20" s="2" customFormat="1" ht="18" x14ac:dyDescent="0.25">
      <c r="B75" s="17">
        <v>66</v>
      </c>
      <c r="C75" s="28" t="str">
        <f>DASAR!B67</f>
        <v>KULISUSU UTARA</v>
      </c>
      <c r="D75" s="28" t="str">
        <f>DASAR!D67</f>
        <v>WAMBOULE</v>
      </c>
      <c r="E75" s="25"/>
      <c r="F75" s="29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8"/>
    </row>
    <row r="76" spans="2:20" s="2" customFormat="1" ht="18" x14ac:dyDescent="0.25">
      <c r="B76" s="17">
        <v>67</v>
      </c>
      <c r="C76" s="28" t="str">
        <f>DASAR!B68</f>
        <v>KULISUSU UTARA</v>
      </c>
      <c r="D76" s="28" t="str">
        <f>DASAR!D68</f>
        <v>WOWONGA JAYA</v>
      </c>
      <c r="E76" s="25"/>
      <c r="F76" s="29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8"/>
    </row>
    <row r="77" spans="2:20" s="2" customFormat="1" ht="18" customHeight="1" x14ac:dyDescent="0.25">
      <c r="B77" s="17">
        <v>68</v>
      </c>
      <c r="C77" s="28" t="str">
        <f>DASAR!B69</f>
        <v>WAKORUMBA UTARA</v>
      </c>
      <c r="D77" s="28" t="str">
        <f>DASAR!D69</f>
        <v>LASIWA</v>
      </c>
      <c r="E77" s="25"/>
      <c r="F77" s="29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8"/>
    </row>
    <row r="78" spans="2:20" s="2" customFormat="1" ht="18" customHeight="1" x14ac:dyDescent="0.25">
      <c r="B78" s="17">
        <v>69</v>
      </c>
      <c r="C78" s="28" t="str">
        <f>DASAR!B70</f>
        <v>WAKORUMBA UTARA</v>
      </c>
      <c r="D78" s="28" t="str">
        <f>DASAR!D70</f>
        <v>LAEA</v>
      </c>
      <c r="E78" s="25"/>
      <c r="F78" s="29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8"/>
    </row>
    <row r="79" spans="2:20" s="2" customFormat="1" ht="18" customHeight="1" x14ac:dyDescent="0.25">
      <c r="B79" s="17">
        <v>70</v>
      </c>
      <c r="C79" s="28" t="str">
        <f>DASAR!B71</f>
        <v>WAKORUMBA UTARA</v>
      </c>
      <c r="D79" s="28" t="str">
        <f>DASAR!D71</f>
        <v>MATALAGI</v>
      </c>
      <c r="E79" s="25"/>
      <c r="F79" s="29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8"/>
    </row>
    <row r="80" spans="2:20" s="2" customFormat="1" ht="18" customHeight="1" x14ac:dyDescent="0.25">
      <c r="B80" s="17">
        <v>71</v>
      </c>
      <c r="C80" s="28" t="str">
        <f>DASAR!B72</f>
        <v>WAKORUMBA UTARA</v>
      </c>
      <c r="D80" s="28" t="str">
        <f>DASAR!D72</f>
        <v>WANTULASI</v>
      </c>
      <c r="E80" s="25"/>
      <c r="F80" s="29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8"/>
    </row>
    <row r="81" spans="1:20" s="2" customFormat="1" ht="18" customHeight="1" x14ac:dyDescent="0.25">
      <c r="B81" s="17">
        <v>72</v>
      </c>
      <c r="C81" s="28" t="str">
        <f>DASAR!B73</f>
        <v>WAKORUMBA UTARA</v>
      </c>
      <c r="D81" s="28" t="str">
        <f>DASAR!D73</f>
        <v>LABUAN BAJO</v>
      </c>
      <c r="E81" s="25"/>
      <c r="F81" s="29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8"/>
    </row>
    <row r="82" spans="1:20" s="2" customFormat="1" ht="18" customHeight="1" x14ac:dyDescent="0.25">
      <c r="B82" s="17">
        <v>73</v>
      </c>
      <c r="C82" s="28" t="str">
        <f>DASAR!B74</f>
        <v>WAKORUMBA UTARA</v>
      </c>
      <c r="D82" s="28" t="str">
        <f>DASAR!D74</f>
        <v>LABARAGA</v>
      </c>
      <c r="E82" s="25"/>
      <c r="F82" s="29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8"/>
    </row>
    <row r="83" spans="1:20" s="2" customFormat="1" ht="18" customHeight="1" x14ac:dyDescent="0.25">
      <c r="B83" s="17">
        <v>74</v>
      </c>
      <c r="C83" s="28" t="str">
        <f>DASAR!B75</f>
        <v>WAKORUMBA UTARA</v>
      </c>
      <c r="D83" s="28" t="str">
        <f>DASAR!D75</f>
        <v>WAMORAPA</v>
      </c>
      <c r="E83" s="25"/>
      <c r="F83" s="29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8"/>
    </row>
    <row r="84" spans="1:20" s="2" customFormat="1" ht="18" customHeight="1" x14ac:dyDescent="0.25">
      <c r="B84" s="17">
        <v>75</v>
      </c>
      <c r="C84" s="28" t="str">
        <f>DASAR!B76</f>
        <v>WAKORUMBA UTARA</v>
      </c>
      <c r="D84" s="28" t="str">
        <f>DASAR!D76</f>
        <v>SUMAMPENO</v>
      </c>
      <c r="E84" s="25"/>
      <c r="F84" s="29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8"/>
    </row>
    <row r="85" spans="1:20" s="2" customFormat="1" ht="18" customHeight="1" x14ac:dyDescent="0.25">
      <c r="B85" s="17">
        <v>76</v>
      </c>
      <c r="C85" s="28" t="str">
        <f>DASAR!B77</f>
        <v>WAKORUMBA UTARA</v>
      </c>
      <c r="D85" s="28" t="str">
        <f>DASAR!D77</f>
        <v>OENGKAPALA</v>
      </c>
      <c r="E85" s="25"/>
      <c r="F85" s="29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8"/>
    </row>
    <row r="86" spans="1:20" s="2" customFormat="1" ht="18" customHeight="1" x14ac:dyDescent="0.25">
      <c r="B86" s="17">
        <v>77</v>
      </c>
      <c r="C86" s="28" t="str">
        <f>DASAR!B78</f>
        <v>WAKORUMBA UTARA</v>
      </c>
      <c r="D86" s="28" t="str">
        <f>DASAR!D78</f>
        <v>LABUKO</v>
      </c>
      <c r="E86" s="25"/>
      <c r="F86" s="29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8"/>
    </row>
    <row r="87" spans="1:20" s="2" customFormat="1" ht="18" customHeight="1" x14ac:dyDescent="0.25">
      <c r="B87" s="17">
        <v>78</v>
      </c>
      <c r="C87" s="28" t="str">
        <f>DASAR!B79</f>
        <v>WAKORUMBA UTARA</v>
      </c>
      <c r="D87" s="28" t="str">
        <f>DASAR!D79</f>
        <v>LABA JAYA</v>
      </c>
      <c r="E87" s="25"/>
      <c r="F87" s="29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8"/>
    </row>
    <row r="88" spans="1:20" s="2" customFormat="1" ht="18" x14ac:dyDescent="0.25">
      <c r="B88" s="17"/>
      <c r="C88" s="28"/>
      <c r="D88" s="28"/>
      <c r="E88" s="25"/>
      <c r="F88" s="29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3"/>
    </row>
    <row r="89" spans="1:20" s="15" customFormat="1" ht="15.75" thickBot="1" x14ac:dyDescent="0.3">
      <c r="A89"/>
      <c r="B89" s="279" t="s">
        <v>27</v>
      </c>
      <c r="C89" s="279"/>
      <c r="D89" s="279"/>
      <c r="E89" s="30">
        <f>SUM(E10:E87)</f>
        <v>0</v>
      </c>
      <c r="F89" s="30">
        <f>SUM(F10:F87)</f>
        <v>0</v>
      </c>
      <c r="G89" s="19"/>
      <c r="H89" s="20"/>
      <c r="I89" s="19"/>
      <c r="J89" s="19"/>
      <c r="K89" s="20"/>
      <c r="L89" s="19"/>
      <c r="M89" s="19"/>
      <c r="N89" s="20"/>
      <c r="O89" s="19"/>
      <c r="P89" s="19"/>
      <c r="Q89" s="20"/>
      <c r="R89" s="19"/>
      <c r="S89" s="19"/>
      <c r="T89" s="19"/>
    </row>
    <row r="91" spans="1:20" x14ac:dyDescent="0.25">
      <c r="C91" s="286" t="s">
        <v>28</v>
      </c>
      <c r="D91" s="287"/>
      <c r="E91" s="288"/>
      <c r="G91" s="286" t="s">
        <v>11</v>
      </c>
      <c r="H91" s="288"/>
      <c r="I91" s="3"/>
    </row>
    <row r="92" spans="1:20" ht="18" x14ac:dyDescent="0.25">
      <c r="C92" s="283" t="s">
        <v>46</v>
      </c>
      <c r="D92" s="284"/>
      <c r="E92" s="23"/>
      <c r="F92" s="5"/>
      <c r="G92" s="4" t="s">
        <v>29</v>
      </c>
      <c r="H92" s="6">
        <v>0.25</v>
      </c>
      <c r="I92" s="5"/>
    </row>
    <row r="93" spans="1:20" x14ac:dyDescent="0.25">
      <c r="C93" s="289" t="s">
        <v>47</v>
      </c>
      <c r="D93" s="289"/>
      <c r="E93" s="16"/>
      <c r="F93" s="5"/>
      <c r="G93" s="4" t="s">
        <v>30</v>
      </c>
      <c r="H93" s="6">
        <v>0.35</v>
      </c>
      <c r="I93" s="5"/>
    </row>
    <row r="94" spans="1:20" ht="18" x14ac:dyDescent="0.25">
      <c r="C94" s="283" t="s">
        <v>48</v>
      </c>
      <c r="D94" s="284"/>
      <c r="E94" s="23"/>
      <c r="F94" s="5"/>
      <c r="G94" s="4" t="s">
        <v>31</v>
      </c>
      <c r="H94" s="8">
        <v>0.1</v>
      </c>
      <c r="I94" s="5"/>
    </row>
    <row r="95" spans="1:20" x14ac:dyDescent="0.25">
      <c r="C95" s="283" t="s">
        <v>56</v>
      </c>
      <c r="D95" s="284"/>
      <c r="E95" s="26"/>
      <c r="F95" s="5"/>
      <c r="G95" s="4" t="s">
        <v>8</v>
      </c>
      <c r="H95" s="6">
        <v>0.3</v>
      </c>
      <c r="I95" s="5"/>
    </row>
    <row r="96" spans="1:20" ht="18" x14ac:dyDescent="0.25">
      <c r="C96" s="283" t="s">
        <v>49</v>
      </c>
      <c r="D96" s="284"/>
      <c r="E96" s="24"/>
      <c r="F96" s="5"/>
    </row>
    <row r="97" spans="2:17" x14ac:dyDescent="0.25">
      <c r="C97" s="283" t="s">
        <v>57</v>
      </c>
      <c r="D97" s="284"/>
      <c r="E97" s="7"/>
      <c r="F97" s="5"/>
    </row>
    <row r="98" spans="2:17" x14ac:dyDescent="0.25">
      <c r="C98" s="283" t="s">
        <v>32</v>
      </c>
      <c r="D98" s="284"/>
      <c r="E98" s="7"/>
      <c r="F98" s="5"/>
    </row>
    <row r="99" spans="2:17" x14ac:dyDescent="0.25">
      <c r="B99" s="10"/>
      <c r="C99" s="10"/>
      <c r="D99" s="9"/>
      <c r="E99" s="9"/>
      <c r="H99" s="285" t="s">
        <v>50</v>
      </c>
      <c r="I99" s="285"/>
      <c r="Q99" t="s">
        <v>33</v>
      </c>
    </row>
    <row r="100" spans="2:17" x14ac:dyDescent="0.25">
      <c r="B100" s="10"/>
      <c r="C100" s="10"/>
      <c r="D100" s="11"/>
      <c r="E100" s="12"/>
    </row>
    <row r="101" spans="2:17" x14ac:dyDescent="0.25">
      <c r="B101" s="10"/>
      <c r="C101" s="10"/>
      <c r="D101" s="11"/>
      <c r="E101" s="12"/>
      <c r="G101" t="s">
        <v>51</v>
      </c>
      <c r="K101" t="s">
        <v>52</v>
      </c>
      <c r="Q101" t="s">
        <v>53</v>
      </c>
    </row>
    <row r="102" spans="2:17" x14ac:dyDescent="0.25">
      <c r="B102" s="10"/>
      <c r="C102" s="10"/>
      <c r="D102" s="13"/>
      <c r="E102" s="12"/>
      <c r="G102" t="s">
        <v>54</v>
      </c>
      <c r="K102" t="s">
        <v>54</v>
      </c>
      <c r="Q102" t="s">
        <v>55</v>
      </c>
    </row>
    <row r="103" spans="2:17" x14ac:dyDescent="0.25">
      <c r="B103" s="10"/>
      <c r="C103" s="10"/>
      <c r="D103" s="11"/>
      <c r="E103" s="14"/>
    </row>
    <row r="106" spans="2:17" x14ac:dyDescent="0.25">
      <c r="G106" t="s">
        <v>34</v>
      </c>
      <c r="K106" t="s">
        <v>34</v>
      </c>
      <c r="Q106" t="s">
        <v>34</v>
      </c>
    </row>
    <row r="107" spans="2:17" x14ac:dyDescent="0.25">
      <c r="G107" t="s">
        <v>35</v>
      </c>
      <c r="K107" t="s">
        <v>35</v>
      </c>
      <c r="Q107" t="s">
        <v>35</v>
      </c>
    </row>
    <row r="108" spans="2:17" x14ac:dyDescent="0.25">
      <c r="Q108" s="22"/>
    </row>
  </sheetData>
  <autoFilter ref="A9:T9"/>
  <mergeCells count="26">
    <mergeCell ref="C96:D96"/>
    <mergeCell ref="C97:D97"/>
    <mergeCell ref="C98:D98"/>
    <mergeCell ref="H99:I99"/>
    <mergeCell ref="C91:E91"/>
    <mergeCell ref="G91:H91"/>
    <mergeCell ref="C92:D92"/>
    <mergeCell ref="C93:D93"/>
    <mergeCell ref="C94:D94"/>
    <mergeCell ref="C95:D95"/>
    <mergeCell ref="B89:D89"/>
    <mergeCell ref="B1:T1"/>
    <mergeCell ref="B3:T3"/>
    <mergeCell ref="B4:T4"/>
    <mergeCell ref="B6:B8"/>
    <mergeCell ref="C6:C8"/>
    <mergeCell ref="D6:D8"/>
    <mergeCell ref="E6:E8"/>
    <mergeCell ref="F6:S6"/>
    <mergeCell ref="T6:T8"/>
    <mergeCell ref="F7:H7"/>
    <mergeCell ref="I7:K7"/>
    <mergeCell ref="L7:N7"/>
    <mergeCell ref="O7:Q7"/>
    <mergeCell ref="R7:R8"/>
    <mergeCell ref="S7:S8"/>
  </mergeCells>
  <pageMargins left="0.15748031496062992" right="0.15748031496062992" top="0.31496062992125984" bottom="0.31496062992125984" header="0.19685039370078741" footer="0.19685039370078741"/>
  <pageSetup paperSize="258" scale="5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110"/>
  <sheetViews>
    <sheetView view="pageBreakPreview" zoomScale="60" workbookViewId="0">
      <pane xSplit="2" ySplit="12" topLeftCell="C86" activePane="bottomRight" state="frozen"/>
      <selection pane="topRight" activeCell="C1" sqref="C1"/>
      <selection pane="bottomLeft" activeCell="A11" sqref="A11"/>
      <selection pane="bottomRight" activeCell="H95" sqref="H95"/>
    </sheetView>
  </sheetViews>
  <sheetFormatPr defaultColWidth="8.85546875" defaultRowHeight="15" x14ac:dyDescent="0.25"/>
  <cols>
    <col min="1" max="1" width="4.28515625" customWidth="1"/>
    <col min="2" max="2" width="7.28515625" customWidth="1"/>
    <col min="3" max="3" width="26.42578125" customWidth="1"/>
    <col min="4" max="4" width="25.7109375" customWidth="1"/>
    <col min="5" max="8" width="22.7109375" customWidth="1"/>
    <col min="9" max="9" width="20.140625" customWidth="1"/>
    <col min="10" max="10" width="10.42578125" customWidth="1"/>
  </cols>
  <sheetData>
    <row r="1" spans="2:9" s="1" customFormat="1" ht="18.75" x14ac:dyDescent="0.3">
      <c r="B1" s="247"/>
      <c r="C1" s="247"/>
      <c r="D1" s="247"/>
      <c r="E1" s="247"/>
      <c r="F1" s="247"/>
      <c r="G1" s="247"/>
      <c r="H1" s="247"/>
      <c r="I1" s="247"/>
    </row>
    <row r="2" spans="2:9" s="1" customFormat="1" ht="18" x14ac:dyDescent="0.25">
      <c r="B2" s="50"/>
      <c r="C2" s="53" t="s">
        <v>140</v>
      </c>
      <c r="D2" s="53" t="s">
        <v>146</v>
      </c>
      <c r="E2" s="52"/>
      <c r="F2" s="52"/>
      <c r="G2" s="52"/>
      <c r="H2" s="52"/>
      <c r="I2" s="52"/>
    </row>
    <row r="3" spans="2:9" s="1" customFormat="1" ht="18" x14ac:dyDescent="0.25">
      <c r="B3" s="50"/>
      <c r="D3" s="53" t="s">
        <v>143</v>
      </c>
      <c r="E3" s="53" t="s">
        <v>141</v>
      </c>
      <c r="F3" s="52"/>
      <c r="G3" s="52"/>
      <c r="H3" s="52"/>
      <c r="I3" s="52"/>
    </row>
    <row r="4" spans="2:9" s="1" customFormat="1" ht="18" x14ac:dyDescent="0.25">
      <c r="B4" s="50"/>
      <c r="D4" s="53" t="s">
        <v>144</v>
      </c>
      <c r="E4" s="53" t="s">
        <v>141</v>
      </c>
      <c r="F4" s="52"/>
      <c r="G4" s="52"/>
      <c r="H4" s="52"/>
      <c r="I4" s="52"/>
    </row>
    <row r="5" spans="2:9" ht="18" x14ac:dyDescent="0.25">
      <c r="B5" s="222"/>
      <c r="D5" s="53" t="s">
        <v>145</v>
      </c>
      <c r="E5" s="54" t="s">
        <v>142</v>
      </c>
      <c r="F5" s="52"/>
      <c r="G5" s="52"/>
      <c r="H5" s="52"/>
      <c r="I5" s="52"/>
    </row>
    <row r="6" spans="2:9" ht="18" x14ac:dyDescent="0.25">
      <c r="B6" s="270"/>
      <c r="C6" s="270"/>
      <c r="D6" s="270"/>
      <c r="E6" s="270"/>
      <c r="F6" s="270"/>
      <c r="G6" s="270"/>
      <c r="H6" s="270"/>
      <c r="I6" s="270"/>
    </row>
    <row r="7" spans="2:9" ht="18" x14ac:dyDescent="0.25">
      <c r="B7" s="248"/>
      <c r="C7" s="248"/>
      <c r="D7" s="248"/>
      <c r="E7" s="248"/>
      <c r="F7" s="248"/>
      <c r="G7" s="248"/>
      <c r="H7" s="248"/>
      <c r="I7" s="248"/>
    </row>
    <row r="8" spans="2:9" ht="18" x14ac:dyDescent="0.25">
      <c r="B8" s="222"/>
      <c r="C8" s="222"/>
      <c r="D8" s="222"/>
      <c r="E8" s="222"/>
      <c r="F8" s="222"/>
      <c r="G8" s="222"/>
      <c r="H8" s="222"/>
      <c r="I8" s="222"/>
    </row>
    <row r="9" spans="2:9" ht="15" customHeight="1" x14ac:dyDescent="0.25">
      <c r="B9" s="261" t="s">
        <v>1</v>
      </c>
      <c r="C9" s="261" t="s">
        <v>40</v>
      </c>
      <c r="D9" s="261" t="s">
        <v>2</v>
      </c>
      <c r="E9" s="261" t="s">
        <v>162</v>
      </c>
      <c r="F9" s="262" t="s">
        <v>167</v>
      </c>
      <c r="G9" s="263"/>
      <c r="H9" s="264"/>
      <c r="I9" s="261" t="s">
        <v>166</v>
      </c>
    </row>
    <row r="10" spans="2:9" ht="15" customHeight="1" x14ac:dyDescent="0.25">
      <c r="B10" s="261"/>
      <c r="C10" s="261"/>
      <c r="D10" s="261"/>
      <c r="E10" s="261"/>
      <c r="F10" s="265"/>
      <c r="G10" s="266"/>
      <c r="H10" s="267"/>
      <c r="I10" s="261"/>
    </row>
    <row r="11" spans="2:9" ht="72" customHeight="1" x14ac:dyDescent="0.25">
      <c r="B11" s="261"/>
      <c r="C11" s="261"/>
      <c r="D11" s="261"/>
      <c r="E11" s="261"/>
      <c r="F11" s="223" t="s">
        <v>163</v>
      </c>
      <c r="G11" s="223" t="s">
        <v>164</v>
      </c>
      <c r="H11" s="223" t="s">
        <v>165</v>
      </c>
      <c r="I11" s="261"/>
    </row>
    <row r="12" spans="2:9" s="55" customFormat="1" ht="30" customHeight="1" x14ac:dyDescent="0.25">
      <c r="B12" s="76" t="s">
        <v>16</v>
      </c>
      <c r="C12" s="76" t="s">
        <v>17</v>
      </c>
      <c r="D12" s="76" t="s">
        <v>18</v>
      </c>
      <c r="E12" s="76" t="s">
        <v>19</v>
      </c>
      <c r="F12" s="76" t="s">
        <v>20</v>
      </c>
      <c r="G12" s="76" t="s">
        <v>37</v>
      </c>
      <c r="H12" s="76" t="s">
        <v>168</v>
      </c>
      <c r="I12" s="77" t="s">
        <v>169</v>
      </c>
    </row>
    <row r="13" spans="2:9" s="67" customFormat="1" ht="21" customHeight="1" x14ac:dyDescent="0.3">
      <c r="B13" s="61">
        <v>1</v>
      </c>
      <c r="C13" s="62" t="str">
        <f>DASAR!B2</f>
        <v>KULISUSU</v>
      </c>
      <c r="D13" s="62" t="str">
        <f>DASAR!D2</f>
        <v>TRIWACUWACU</v>
      </c>
      <c r="E13" s="63">
        <f>E$97</f>
        <v>1925329.2307692308</v>
      </c>
      <c r="F13" s="64">
        <f>DASAR!F2</f>
        <v>2.5880369260450228E-2</v>
      </c>
      <c r="G13" s="65">
        <f>E$99</f>
        <v>100117120</v>
      </c>
      <c r="H13" s="65">
        <f>F13*G13</f>
        <v>2591068.0348928068</v>
      </c>
      <c r="I13" s="66">
        <f>ROUND(E13+H13,-3)</f>
        <v>4516000</v>
      </c>
    </row>
    <row r="14" spans="2:9" s="84" customFormat="1" ht="21" customHeight="1" x14ac:dyDescent="0.3">
      <c r="B14" s="78">
        <v>2</v>
      </c>
      <c r="C14" s="79" t="str">
        <f>DASAR!B3</f>
        <v>KULISUSU</v>
      </c>
      <c r="D14" s="79" t="str">
        <f>DASAR!D3</f>
        <v>WACULAEA</v>
      </c>
      <c r="E14" s="80">
        <f t="shared" ref="E14:E77" si="0">E$97</f>
        <v>1925329.2307692308</v>
      </c>
      <c r="F14" s="81">
        <f>DASAR!F3</f>
        <v>5.9135800226294997E-3</v>
      </c>
      <c r="G14" s="82">
        <f t="shared" ref="G14:G77" si="1">E$99</f>
        <v>100117120</v>
      </c>
      <c r="H14" s="82">
        <f t="shared" ref="H14:H77" si="2">F14*G14</f>
        <v>592050.60075520037</v>
      </c>
      <c r="I14" s="83">
        <f t="shared" ref="I14:I77" si="3">ROUND(E14+H14,-3)</f>
        <v>2517000</v>
      </c>
    </row>
    <row r="15" spans="2:9" s="67" customFormat="1" ht="21" customHeight="1" x14ac:dyDescent="0.3">
      <c r="B15" s="61">
        <v>3</v>
      </c>
      <c r="C15" s="62" t="str">
        <f>DASAR!B4</f>
        <v>KULISUSU</v>
      </c>
      <c r="D15" s="62" t="str">
        <f>DASAR!D4</f>
        <v>E'ELAHAJI</v>
      </c>
      <c r="E15" s="63">
        <f t="shared" si="0"/>
        <v>1925329.2307692308</v>
      </c>
      <c r="F15" s="64">
        <f>DASAR!F4</f>
        <v>3.6709843983997237E-2</v>
      </c>
      <c r="G15" s="65">
        <f t="shared" si="1"/>
        <v>100117120</v>
      </c>
      <c r="H15" s="65">
        <f t="shared" si="2"/>
        <v>3675283.8553271294</v>
      </c>
      <c r="I15" s="66">
        <f t="shared" si="3"/>
        <v>5601000</v>
      </c>
    </row>
    <row r="16" spans="2:9" s="84" customFormat="1" ht="21" customHeight="1" x14ac:dyDescent="0.3">
      <c r="B16" s="78">
        <v>4</v>
      </c>
      <c r="C16" s="79" t="str">
        <f>DASAR!B5</f>
        <v>KULISUSU</v>
      </c>
      <c r="D16" s="79" t="str">
        <f>DASAR!D5</f>
        <v>TOMOAHI</v>
      </c>
      <c r="E16" s="80">
        <f t="shared" si="0"/>
        <v>1925329.2307692308</v>
      </c>
      <c r="F16" s="81">
        <f>DASAR!F5</f>
        <v>2.9421308257520838E-2</v>
      </c>
      <c r="G16" s="82">
        <f t="shared" si="1"/>
        <v>100117120</v>
      </c>
      <c r="H16" s="82">
        <f t="shared" si="2"/>
        <v>2945576.6493752045</v>
      </c>
      <c r="I16" s="83">
        <f>ROUND(E16+H16,-3)</f>
        <v>4871000</v>
      </c>
    </row>
    <row r="17" spans="2:9" s="67" customFormat="1" ht="21" customHeight="1" x14ac:dyDescent="0.3">
      <c r="B17" s="61">
        <v>5</v>
      </c>
      <c r="C17" s="62" t="str">
        <f>DASAR!B6</f>
        <v>KULISUSU</v>
      </c>
      <c r="D17" s="62" t="str">
        <f>DASAR!D6</f>
        <v>KALIBU</v>
      </c>
      <c r="E17" s="63">
        <f t="shared" si="0"/>
        <v>1925329.2307692308</v>
      </c>
      <c r="F17" s="64">
        <f>DASAR!F6</f>
        <v>1.6129368740613683E-2</v>
      </c>
      <c r="G17" s="65">
        <f t="shared" si="1"/>
        <v>100117120</v>
      </c>
      <c r="H17" s="65">
        <f t="shared" si="2"/>
        <v>1614825.9457282689</v>
      </c>
      <c r="I17" s="66">
        <f t="shared" si="3"/>
        <v>3540000</v>
      </c>
    </row>
    <row r="18" spans="2:9" s="84" customFormat="1" ht="21" customHeight="1" x14ac:dyDescent="0.3">
      <c r="B18" s="78">
        <v>6</v>
      </c>
      <c r="C18" s="79" t="str">
        <f>DASAR!B7</f>
        <v>KULISUSU</v>
      </c>
      <c r="D18" s="79" t="str">
        <f>DASAR!D7</f>
        <v>JAMPAKA</v>
      </c>
      <c r="E18" s="80">
        <f t="shared" si="0"/>
        <v>1925329.2307692308</v>
      </c>
      <c r="F18" s="81">
        <f>DASAR!F7</f>
        <v>2.6832880153148317E-2</v>
      </c>
      <c r="G18" s="82">
        <f t="shared" si="1"/>
        <v>100117120</v>
      </c>
      <c r="H18" s="82">
        <f t="shared" si="2"/>
        <v>2686430.6822383683</v>
      </c>
      <c r="I18" s="83">
        <f t="shared" si="3"/>
        <v>4612000</v>
      </c>
    </row>
    <row r="19" spans="2:9" s="67" customFormat="1" ht="21" customHeight="1" x14ac:dyDescent="0.3">
      <c r="B19" s="61">
        <v>7</v>
      </c>
      <c r="C19" s="62" t="str">
        <f>DASAR!B8</f>
        <v>KULISUSU</v>
      </c>
      <c r="D19" s="62" t="str">
        <f>DASAR!D8</f>
        <v>LOJI</v>
      </c>
      <c r="E19" s="63">
        <f t="shared" si="0"/>
        <v>1925329.2307692308</v>
      </c>
      <c r="F19" s="64">
        <f>DASAR!F8</f>
        <v>1.6340660602567263E-2</v>
      </c>
      <c r="G19" s="65">
        <f t="shared" si="1"/>
        <v>100117120</v>
      </c>
      <c r="H19" s="65">
        <f t="shared" si="2"/>
        <v>1635979.878426499</v>
      </c>
      <c r="I19" s="66">
        <f t="shared" si="3"/>
        <v>3561000</v>
      </c>
    </row>
    <row r="20" spans="2:9" s="84" customFormat="1" ht="21" customHeight="1" x14ac:dyDescent="0.3">
      <c r="B20" s="78">
        <v>8</v>
      </c>
      <c r="C20" s="79" t="str">
        <f>DASAR!B9</f>
        <v>KULISUSU</v>
      </c>
      <c r="D20" s="79" t="str">
        <f>DASAR!D9</f>
        <v>LINSOWU</v>
      </c>
      <c r="E20" s="80">
        <f t="shared" si="0"/>
        <v>1925329.2307692308</v>
      </c>
      <c r="F20" s="81">
        <f>DASAR!F9</f>
        <v>1.8371267856273115E-2</v>
      </c>
      <c r="G20" s="82">
        <f t="shared" si="1"/>
        <v>100117120</v>
      </c>
      <c r="H20" s="82">
        <f t="shared" si="2"/>
        <v>1839278.4285186382</v>
      </c>
      <c r="I20" s="83">
        <f t="shared" si="3"/>
        <v>3765000</v>
      </c>
    </row>
    <row r="21" spans="2:9" s="67" customFormat="1" ht="21" customHeight="1" x14ac:dyDescent="0.3">
      <c r="B21" s="61">
        <v>9</v>
      </c>
      <c r="C21" s="62" t="str">
        <f>DASAR!B10</f>
        <v>KULISUSU</v>
      </c>
      <c r="D21" s="62" t="str">
        <f>DASAR!D10</f>
        <v>ROMBO</v>
      </c>
      <c r="E21" s="63">
        <f t="shared" si="0"/>
        <v>1925329.2307692308</v>
      </c>
      <c r="F21" s="64">
        <f>DASAR!F10</f>
        <v>1.3891275834532911E-5</v>
      </c>
      <c r="G21" s="65">
        <f t="shared" si="1"/>
        <v>100117120</v>
      </c>
      <c r="H21" s="65">
        <f t="shared" si="2"/>
        <v>1390.7545296790315</v>
      </c>
      <c r="I21" s="66">
        <f t="shared" si="3"/>
        <v>1927000</v>
      </c>
    </row>
    <row r="22" spans="2:9" s="84" customFormat="1" ht="21" customHeight="1" x14ac:dyDescent="0.3">
      <c r="B22" s="78">
        <v>10</v>
      </c>
      <c r="C22" s="79" t="str">
        <f>DASAR!B11</f>
        <v>KULISUSU</v>
      </c>
      <c r="D22" s="79" t="str">
        <f>DASAR!D11</f>
        <v>WASALABOSE</v>
      </c>
      <c r="E22" s="80">
        <f t="shared" si="0"/>
        <v>1925329.2307692308</v>
      </c>
      <c r="F22" s="81">
        <f>DASAR!F11</f>
        <v>1.7434854174012086E-2</v>
      </c>
      <c r="G22" s="82">
        <f t="shared" si="1"/>
        <v>100117120</v>
      </c>
      <c r="H22" s="82">
        <f t="shared" si="2"/>
        <v>1745527.3875220688</v>
      </c>
      <c r="I22" s="83">
        <f t="shared" si="3"/>
        <v>3671000</v>
      </c>
    </row>
    <row r="23" spans="2:9" s="67" customFormat="1" ht="21" customHeight="1" x14ac:dyDescent="0.3">
      <c r="B23" s="61">
        <v>11</v>
      </c>
      <c r="C23" s="62" t="str">
        <f>DASAR!B12</f>
        <v>KULISUSU</v>
      </c>
      <c r="D23" s="62" t="str">
        <f>DASAR!D12</f>
        <v>MALALANDA</v>
      </c>
      <c r="E23" s="63">
        <f t="shared" si="0"/>
        <v>1925329.2307692308</v>
      </c>
      <c r="F23" s="64">
        <f>DASAR!F12</f>
        <v>3.862030281475505E-3</v>
      </c>
      <c r="G23" s="65">
        <f t="shared" si="1"/>
        <v>100117120</v>
      </c>
      <c r="H23" s="65">
        <f t="shared" si="2"/>
        <v>386655.3491341169</v>
      </c>
      <c r="I23" s="66">
        <f t="shared" si="3"/>
        <v>2312000</v>
      </c>
    </row>
    <row r="24" spans="2:9" s="84" customFormat="1" ht="21" customHeight="1" x14ac:dyDescent="0.3">
      <c r="B24" s="78">
        <v>12</v>
      </c>
      <c r="C24" s="79" t="str">
        <f>DASAR!B13</f>
        <v>KULISUSU</v>
      </c>
      <c r="D24" s="79" t="str">
        <f>DASAR!D13</f>
        <v>LEMO'EA</v>
      </c>
      <c r="E24" s="80">
        <f t="shared" si="0"/>
        <v>1925329.2307692308</v>
      </c>
      <c r="F24" s="81">
        <f>DASAR!F13</f>
        <v>1.1151154998047289E-2</v>
      </c>
      <c r="G24" s="82">
        <f t="shared" si="1"/>
        <v>100117120</v>
      </c>
      <c r="H24" s="82">
        <f t="shared" si="2"/>
        <v>1116421.5230781003</v>
      </c>
      <c r="I24" s="83">
        <f t="shared" si="3"/>
        <v>3042000</v>
      </c>
    </row>
    <row r="25" spans="2:9" s="67" customFormat="1" ht="21" customHeight="1" x14ac:dyDescent="0.3">
      <c r="B25" s="61">
        <v>13</v>
      </c>
      <c r="C25" s="62" t="str">
        <f>DASAR!B14</f>
        <v>KULISUSU</v>
      </c>
      <c r="D25" s="62" t="str">
        <f>DASAR!D14</f>
        <v>LANTAGI</v>
      </c>
      <c r="E25" s="63">
        <f t="shared" si="0"/>
        <v>1925329.2307692308</v>
      </c>
      <c r="F25" s="64">
        <f>DASAR!F14</f>
        <v>3.3406879211503181E-3</v>
      </c>
      <c r="G25" s="65">
        <f t="shared" si="1"/>
        <v>100117120</v>
      </c>
      <c r="H25" s="65">
        <f t="shared" si="2"/>
        <v>334460.05348435696</v>
      </c>
      <c r="I25" s="66">
        <f t="shared" si="3"/>
        <v>2260000</v>
      </c>
    </row>
    <row r="26" spans="2:9" s="84" customFormat="1" ht="21" customHeight="1" x14ac:dyDescent="0.3">
      <c r="B26" s="78">
        <v>14</v>
      </c>
      <c r="C26" s="79" t="str">
        <f>DASAR!B15</f>
        <v>KULISUSU</v>
      </c>
      <c r="D26" s="79" t="str">
        <f>DASAR!D15</f>
        <v>LAANGKE</v>
      </c>
      <c r="E26" s="80">
        <f t="shared" si="0"/>
        <v>1925329.2307692308</v>
      </c>
      <c r="F26" s="81">
        <f>DASAR!F15</f>
        <v>6.7490930337388167E-3</v>
      </c>
      <c r="G26" s="82">
        <f t="shared" si="1"/>
        <v>100117120</v>
      </c>
      <c r="H26" s="82">
        <f t="shared" si="2"/>
        <v>675699.75714999321</v>
      </c>
      <c r="I26" s="83">
        <f t="shared" si="3"/>
        <v>2601000</v>
      </c>
    </row>
    <row r="27" spans="2:9" s="67" customFormat="1" ht="21" customHeight="1" x14ac:dyDescent="0.3">
      <c r="B27" s="61">
        <v>15</v>
      </c>
      <c r="C27" s="62" t="str">
        <f>DASAR!B16</f>
        <v>KULISUSU</v>
      </c>
      <c r="D27" s="62" t="str">
        <f>DASAR!D16</f>
        <v>KADACUA</v>
      </c>
      <c r="E27" s="63">
        <f t="shared" si="0"/>
        <v>1925329.2307692308</v>
      </c>
      <c r="F27" s="64">
        <f>DASAR!F16</f>
        <v>1.3003564965347754E-2</v>
      </c>
      <c r="G27" s="65">
        <f t="shared" si="1"/>
        <v>100117120</v>
      </c>
      <c r="H27" s="65">
        <f t="shared" si="2"/>
        <v>1301879.4740635168</v>
      </c>
      <c r="I27" s="66">
        <f t="shared" si="3"/>
        <v>3227000</v>
      </c>
    </row>
    <row r="28" spans="2:9" s="84" customFormat="1" ht="21" customHeight="1" x14ac:dyDescent="0.3">
      <c r="B28" s="78">
        <v>16</v>
      </c>
      <c r="C28" s="79" t="str">
        <f>DASAR!B17</f>
        <v>KULISUSU</v>
      </c>
      <c r="D28" s="79" t="str">
        <f>DASAR!D17</f>
        <v>BANU-BANUA JAYA</v>
      </c>
      <c r="E28" s="80">
        <f t="shared" si="0"/>
        <v>1925329.2307692308</v>
      </c>
      <c r="F28" s="81">
        <f>DASAR!F17</f>
        <v>4.6946177898940693E-3</v>
      </c>
      <c r="G28" s="82">
        <f t="shared" si="1"/>
        <v>100117120</v>
      </c>
      <c r="H28" s="82">
        <f t="shared" si="2"/>
        <v>470011.61262495932</v>
      </c>
      <c r="I28" s="83">
        <f t="shared" si="3"/>
        <v>2395000</v>
      </c>
    </row>
    <row r="29" spans="2:9" s="67" customFormat="1" ht="21" customHeight="1" x14ac:dyDescent="0.3">
      <c r="B29" s="61">
        <v>17</v>
      </c>
      <c r="C29" s="62" t="str">
        <f>DASAR!B18</f>
        <v>KAMBOWA</v>
      </c>
      <c r="D29" s="62" t="str">
        <f>DASAR!D18</f>
        <v>BUBU</v>
      </c>
      <c r="E29" s="63">
        <f t="shared" si="0"/>
        <v>1925329.2307692308</v>
      </c>
      <c r="F29" s="64">
        <f>DASAR!F18</f>
        <v>2.0955956429190983E-2</v>
      </c>
      <c r="G29" s="65">
        <f t="shared" si="1"/>
        <v>100117120</v>
      </c>
      <c r="H29" s="65">
        <f t="shared" si="2"/>
        <v>2098050.0045360853</v>
      </c>
      <c r="I29" s="66">
        <f t="shared" si="3"/>
        <v>4023000</v>
      </c>
    </row>
    <row r="30" spans="2:9" s="84" customFormat="1" ht="21" customHeight="1" x14ac:dyDescent="0.3">
      <c r="B30" s="78">
        <v>18</v>
      </c>
      <c r="C30" s="79" t="str">
        <f>DASAR!B19</f>
        <v>KAMBOWA</v>
      </c>
      <c r="D30" s="79" t="str">
        <f>DASAR!D19</f>
        <v>LAHUMOKO</v>
      </c>
      <c r="E30" s="80">
        <f t="shared" si="0"/>
        <v>1925329.2307692308</v>
      </c>
      <c r="F30" s="81">
        <f>DASAR!F19</f>
        <v>1.1283991712342593E-2</v>
      </c>
      <c r="G30" s="82">
        <f t="shared" si="1"/>
        <v>100117120</v>
      </c>
      <c r="H30" s="82">
        <f t="shared" si="2"/>
        <v>1129720.7523436088</v>
      </c>
      <c r="I30" s="83">
        <f t="shared" si="3"/>
        <v>3055000</v>
      </c>
    </row>
    <row r="31" spans="2:9" s="67" customFormat="1" ht="21" customHeight="1" x14ac:dyDescent="0.3">
      <c r="B31" s="61">
        <v>19</v>
      </c>
      <c r="C31" s="62" t="str">
        <f>DASAR!B20</f>
        <v>KAMBOWA</v>
      </c>
      <c r="D31" s="62" t="str">
        <f>DASAR!D20</f>
        <v>MORINDINO</v>
      </c>
      <c r="E31" s="63">
        <f t="shared" si="0"/>
        <v>1925329.2307692308</v>
      </c>
      <c r="F31" s="64">
        <f>DASAR!F20</f>
        <v>1.9772247476268431E-2</v>
      </c>
      <c r="G31" s="65">
        <f t="shared" si="1"/>
        <v>100117120</v>
      </c>
      <c r="H31" s="65">
        <f t="shared" si="2"/>
        <v>1979540.4732512636</v>
      </c>
      <c r="I31" s="66">
        <f t="shared" si="3"/>
        <v>3905000</v>
      </c>
    </row>
    <row r="32" spans="2:9" s="84" customFormat="1" ht="21" customHeight="1" x14ac:dyDescent="0.3">
      <c r="B32" s="78">
        <v>20</v>
      </c>
      <c r="C32" s="79" t="str">
        <f>DASAR!B21</f>
        <v>KAMBOWA</v>
      </c>
      <c r="D32" s="79" t="str">
        <f>DASAR!D21</f>
        <v>PONGKOWULU</v>
      </c>
      <c r="E32" s="80">
        <f t="shared" si="0"/>
        <v>1925329.2307692308</v>
      </c>
      <c r="F32" s="81">
        <f>DASAR!F21</f>
        <v>1.9180668047068677E-2</v>
      </c>
      <c r="G32" s="82">
        <f t="shared" si="1"/>
        <v>100117120</v>
      </c>
      <c r="H32" s="82">
        <f t="shared" si="2"/>
        <v>1920313.2445485403</v>
      </c>
      <c r="I32" s="83">
        <f t="shared" si="3"/>
        <v>3846000</v>
      </c>
    </row>
    <row r="33" spans="2:9" s="67" customFormat="1" ht="21" customHeight="1" x14ac:dyDescent="0.3">
      <c r="B33" s="61">
        <v>21</v>
      </c>
      <c r="C33" s="62" t="str">
        <f>DASAR!B22</f>
        <v>KAMBOWA</v>
      </c>
      <c r="D33" s="62" t="str">
        <f>DASAR!D22</f>
        <v>LAGUNDI</v>
      </c>
      <c r="E33" s="63">
        <f t="shared" si="0"/>
        <v>1925329.2307692308</v>
      </c>
      <c r="F33" s="64">
        <f>DASAR!F22</f>
        <v>2.4038588897418348E-2</v>
      </c>
      <c r="G33" s="65">
        <f t="shared" si="1"/>
        <v>100117120</v>
      </c>
      <c r="H33" s="65">
        <f t="shared" si="2"/>
        <v>2406674.2892735004</v>
      </c>
      <c r="I33" s="66">
        <f t="shared" si="3"/>
        <v>4332000</v>
      </c>
    </row>
    <row r="34" spans="2:9" s="84" customFormat="1" ht="21" customHeight="1" x14ac:dyDescent="0.3">
      <c r="B34" s="78">
        <v>22</v>
      </c>
      <c r="C34" s="79" t="str">
        <f>DASAR!B23</f>
        <v>KAMBOWA</v>
      </c>
      <c r="D34" s="79" t="str">
        <f>DASAR!D23</f>
        <v>KONDE</v>
      </c>
      <c r="E34" s="80">
        <f t="shared" si="0"/>
        <v>1925329.2307692308</v>
      </c>
      <c r="F34" s="81">
        <f>DASAR!F23</f>
        <v>6.4859783781569293E-3</v>
      </c>
      <c r="G34" s="82">
        <f t="shared" si="1"/>
        <v>100117120</v>
      </c>
      <c r="H34" s="82">
        <f t="shared" si="2"/>
        <v>649357.47560334264</v>
      </c>
      <c r="I34" s="83">
        <f t="shared" si="3"/>
        <v>2575000</v>
      </c>
    </row>
    <row r="35" spans="2:9" s="67" customFormat="1" ht="21" customHeight="1" x14ac:dyDescent="0.3">
      <c r="B35" s="61">
        <v>23</v>
      </c>
      <c r="C35" s="62" t="str">
        <f>DASAR!B24</f>
        <v>KAMBOWA</v>
      </c>
      <c r="D35" s="62" t="str">
        <f>DASAR!D24</f>
        <v>MATA</v>
      </c>
      <c r="E35" s="63">
        <f t="shared" si="0"/>
        <v>1925329.2307692308</v>
      </c>
      <c r="F35" s="64">
        <f>DASAR!F24</f>
        <v>1.3481197037131999E-2</v>
      </c>
      <c r="G35" s="65">
        <f t="shared" si="1"/>
        <v>100117120</v>
      </c>
      <c r="H35" s="65">
        <f t="shared" si="2"/>
        <v>1349698.6215101888</v>
      </c>
      <c r="I35" s="66">
        <f t="shared" si="3"/>
        <v>3275000</v>
      </c>
    </row>
    <row r="36" spans="2:9" s="84" customFormat="1" ht="21" customHeight="1" x14ac:dyDescent="0.3">
      <c r="B36" s="78">
        <v>24</v>
      </c>
      <c r="C36" s="79" t="str">
        <f>DASAR!B25</f>
        <v>KAMBOWA</v>
      </c>
      <c r="D36" s="79" t="str">
        <f>DASAR!D25</f>
        <v>BUBU BARAT</v>
      </c>
      <c r="E36" s="80">
        <f t="shared" si="0"/>
        <v>1925329.2307692308</v>
      </c>
      <c r="F36" s="81">
        <f>DASAR!F25</f>
        <v>1.6500304700968048E-2</v>
      </c>
      <c r="G36" s="82">
        <f t="shared" si="1"/>
        <v>100117120</v>
      </c>
      <c r="H36" s="82">
        <f t="shared" si="2"/>
        <v>1651962.9857833821</v>
      </c>
      <c r="I36" s="83">
        <f t="shared" si="3"/>
        <v>3577000</v>
      </c>
    </row>
    <row r="37" spans="2:9" s="67" customFormat="1" ht="21" customHeight="1" x14ac:dyDescent="0.3">
      <c r="B37" s="61">
        <v>25</v>
      </c>
      <c r="C37" s="62" t="str">
        <f>DASAR!B26</f>
        <v>KAMBOWA</v>
      </c>
      <c r="D37" s="62" t="str">
        <f>DASAR!D26</f>
        <v>BENTE</v>
      </c>
      <c r="E37" s="63">
        <f t="shared" si="0"/>
        <v>1925329.2307692308</v>
      </c>
      <c r="F37" s="64">
        <f>DASAR!F26</f>
        <v>5.313118511661147E-3</v>
      </c>
      <c r="G37" s="65">
        <f t="shared" si="1"/>
        <v>100117120</v>
      </c>
      <c r="H37" s="65">
        <f t="shared" si="2"/>
        <v>531934.12360620045</v>
      </c>
      <c r="I37" s="66">
        <f t="shared" si="3"/>
        <v>2457000</v>
      </c>
    </row>
    <row r="38" spans="2:9" s="84" customFormat="1" ht="21" customHeight="1" x14ac:dyDescent="0.3">
      <c r="B38" s="78">
        <v>26</v>
      </c>
      <c r="C38" s="79" t="str">
        <f>DASAR!B27</f>
        <v>KAMBOWA</v>
      </c>
      <c r="D38" s="79" t="str">
        <f>DASAR!D27</f>
        <v>BALUARA</v>
      </c>
      <c r="E38" s="80">
        <f t="shared" si="0"/>
        <v>1925329.2307692308</v>
      </c>
      <c r="F38" s="81">
        <f>DASAR!F27</f>
        <v>9.7241375706277264E-3</v>
      </c>
      <c r="G38" s="82">
        <f t="shared" si="1"/>
        <v>100117120</v>
      </c>
      <c r="H38" s="82">
        <f t="shared" si="2"/>
        <v>973552.64805504458</v>
      </c>
      <c r="I38" s="83">
        <f t="shared" si="3"/>
        <v>2899000</v>
      </c>
    </row>
    <row r="39" spans="2:9" s="67" customFormat="1" ht="21" customHeight="1" x14ac:dyDescent="0.3">
      <c r="B39" s="61">
        <v>27</v>
      </c>
      <c r="C39" s="62" t="str">
        <f>DASAR!B28</f>
        <v>BONEGUNU</v>
      </c>
      <c r="D39" s="62" t="str">
        <f>DASAR!D28</f>
        <v>GUNUNG SARI</v>
      </c>
      <c r="E39" s="63">
        <f t="shared" si="0"/>
        <v>1925329.2307692308</v>
      </c>
      <c r="F39" s="64">
        <f>DASAR!F28</f>
        <v>1.6669531001439496E-2</v>
      </c>
      <c r="G39" s="65">
        <f t="shared" si="1"/>
        <v>100117120</v>
      </c>
      <c r="H39" s="65">
        <f t="shared" si="2"/>
        <v>1668905.4356148383</v>
      </c>
      <c r="I39" s="66">
        <f t="shared" si="3"/>
        <v>3594000</v>
      </c>
    </row>
    <row r="40" spans="2:9" s="91" customFormat="1" ht="21" customHeight="1" x14ac:dyDescent="0.3">
      <c r="B40" s="85">
        <v>28</v>
      </c>
      <c r="C40" s="86" t="str">
        <f>DASAR!B29</f>
        <v>BONEGUNU</v>
      </c>
      <c r="D40" s="86" t="str">
        <f>DASAR!D29</f>
        <v>RONTA</v>
      </c>
      <c r="E40" s="87">
        <f t="shared" si="0"/>
        <v>1925329.2307692308</v>
      </c>
      <c r="F40" s="88">
        <f>DASAR!F29</f>
        <v>6.3077421961792038E-3</v>
      </c>
      <c r="G40" s="89">
        <f t="shared" si="1"/>
        <v>100117120</v>
      </c>
      <c r="H40" s="89">
        <f t="shared" si="2"/>
        <v>631512.98238393688</v>
      </c>
      <c r="I40" s="90">
        <f t="shared" si="3"/>
        <v>2557000</v>
      </c>
    </row>
    <row r="41" spans="2:9" s="67" customFormat="1" ht="21" customHeight="1" x14ac:dyDescent="0.3">
      <c r="B41" s="61">
        <v>29</v>
      </c>
      <c r="C41" s="62" t="str">
        <f>DASAR!B30</f>
        <v>BONEGUNU</v>
      </c>
      <c r="D41" s="62" t="str">
        <f>DASAR!D30</f>
        <v>WAODE ANGKALO</v>
      </c>
      <c r="E41" s="63">
        <f t="shared" si="0"/>
        <v>1925329.2307692308</v>
      </c>
      <c r="F41" s="64">
        <f>DASAR!F30</f>
        <v>2.2246525410598263E-2</v>
      </c>
      <c r="G41" s="65">
        <f t="shared" si="1"/>
        <v>100117120</v>
      </c>
      <c r="H41" s="65">
        <f t="shared" si="2"/>
        <v>2227258.0541159157</v>
      </c>
      <c r="I41" s="66">
        <f t="shared" si="3"/>
        <v>4153000</v>
      </c>
    </row>
    <row r="42" spans="2:9" s="84" customFormat="1" ht="21" customHeight="1" x14ac:dyDescent="0.3">
      <c r="B42" s="78">
        <v>30</v>
      </c>
      <c r="C42" s="79" t="str">
        <f>DASAR!B31</f>
        <v>BONEGUNU</v>
      </c>
      <c r="D42" s="79" t="str">
        <f>DASAR!D31</f>
        <v>LANGERE</v>
      </c>
      <c r="E42" s="80">
        <f t="shared" si="0"/>
        <v>1925329.2307692308</v>
      </c>
      <c r="F42" s="81">
        <f>DASAR!F31</f>
        <v>5.3521057664183466E-3</v>
      </c>
      <c r="G42" s="82">
        <f t="shared" si="1"/>
        <v>100117120</v>
      </c>
      <c r="H42" s="82">
        <f t="shared" si="2"/>
        <v>535837.41526919755</v>
      </c>
      <c r="I42" s="83">
        <f t="shared" si="3"/>
        <v>2461000</v>
      </c>
    </row>
    <row r="43" spans="2:9" s="67" customFormat="1" ht="21" customHeight="1" x14ac:dyDescent="0.3">
      <c r="B43" s="61">
        <v>31</v>
      </c>
      <c r="C43" s="62" t="str">
        <f>DASAR!B32</f>
        <v>BONEGUNU</v>
      </c>
      <c r="D43" s="62" t="str">
        <f>DASAR!D32</f>
        <v>KOEPISINO</v>
      </c>
      <c r="E43" s="63">
        <f t="shared" si="0"/>
        <v>1925329.2307692308</v>
      </c>
      <c r="F43" s="64">
        <f>DASAR!F32</f>
        <v>6.4780520161657447E-3</v>
      </c>
      <c r="G43" s="65">
        <f t="shared" si="1"/>
        <v>100117120</v>
      </c>
      <c r="H43" s="65">
        <f t="shared" si="2"/>
        <v>648563.91106870782</v>
      </c>
      <c r="I43" s="66">
        <f t="shared" si="3"/>
        <v>2574000</v>
      </c>
    </row>
    <row r="44" spans="2:9" s="84" customFormat="1" ht="21" customHeight="1" x14ac:dyDescent="0.3">
      <c r="B44" s="78">
        <v>32</v>
      </c>
      <c r="C44" s="79" t="str">
        <f>DASAR!B33</f>
        <v>BONEGUNU</v>
      </c>
      <c r="D44" s="79" t="str">
        <f>DASAR!D33</f>
        <v>WAODE KALOWO</v>
      </c>
      <c r="E44" s="80">
        <f t="shared" si="0"/>
        <v>1925329.2307692308</v>
      </c>
      <c r="F44" s="81">
        <f>DASAR!F33</f>
        <v>6.279128946215233E-3</v>
      </c>
      <c r="G44" s="82">
        <f t="shared" si="1"/>
        <v>100117120</v>
      </c>
      <c r="H44" s="82">
        <f t="shared" si="2"/>
        <v>628648.30620370398</v>
      </c>
      <c r="I44" s="83">
        <f t="shared" si="3"/>
        <v>2554000</v>
      </c>
    </row>
    <row r="45" spans="2:9" s="67" customFormat="1" ht="21" customHeight="1" x14ac:dyDescent="0.3">
      <c r="B45" s="61">
        <v>33</v>
      </c>
      <c r="C45" s="62" t="str">
        <f>DASAR!B34</f>
        <v>BONEGUNU</v>
      </c>
      <c r="D45" s="62" t="str">
        <f>DASAR!D34</f>
        <v>LAANO IPI</v>
      </c>
      <c r="E45" s="63">
        <f t="shared" si="0"/>
        <v>1925329.2307692308</v>
      </c>
      <c r="F45" s="64">
        <f>DASAR!F34</f>
        <v>7.7051962103677147E-3</v>
      </c>
      <c r="G45" s="65">
        <f t="shared" si="1"/>
        <v>100117120</v>
      </c>
      <c r="H45" s="65">
        <f t="shared" si="2"/>
        <v>771422.05361692968</v>
      </c>
      <c r="I45" s="66">
        <f t="shared" si="3"/>
        <v>2697000</v>
      </c>
    </row>
    <row r="46" spans="2:9" s="84" customFormat="1" ht="21" customHeight="1" x14ac:dyDescent="0.3">
      <c r="B46" s="78">
        <v>34</v>
      </c>
      <c r="C46" s="79" t="str">
        <f>DASAR!B35</f>
        <v>BONEGUNU</v>
      </c>
      <c r="D46" s="79" t="str">
        <f>DASAR!D35</f>
        <v>EENSUMALA</v>
      </c>
      <c r="E46" s="80">
        <f t="shared" si="0"/>
        <v>1925329.2307692308</v>
      </c>
      <c r="F46" s="81">
        <f>DASAR!F35</f>
        <v>9.8314032243668227E-3</v>
      </c>
      <c r="G46" s="82">
        <f t="shared" si="1"/>
        <v>100117120</v>
      </c>
      <c r="H46" s="82">
        <f t="shared" si="2"/>
        <v>984291.77638232009</v>
      </c>
      <c r="I46" s="83">
        <f t="shared" si="3"/>
        <v>2910000</v>
      </c>
    </row>
    <row r="47" spans="2:9" s="67" customFormat="1" ht="21" customHeight="1" x14ac:dyDescent="0.3">
      <c r="B47" s="61">
        <v>35</v>
      </c>
      <c r="C47" s="62" t="str">
        <f>DASAR!B36</f>
        <v>BONEGUNU</v>
      </c>
      <c r="D47" s="62" t="str">
        <f>DASAR!D36</f>
        <v>TATOMBULI</v>
      </c>
      <c r="E47" s="63">
        <f t="shared" si="0"/>
        <v>1925329.2307692308</v>
      </c>
      <c r="F47" s="64">
        <f>DASAR!F36</f>
        <v>7.5676642448403381E-3</v>
      </c>
      <c r="G47" s="65">
        <f t="shared" si="1"/>
        <v>100117120</v>
      </c>
      <c r="H47" s="65">
        <f t="shared" si="2"/>
        <v>757652.74932038947</v>
      </c>
      <c r="I47" s="66">
        <f t="shared" si="3"/>
        <v>2683000</v>
      </c>
    </row>
    <row r="48" spans="2:9" s="84" customFormat="1" ht="21" customHeight="1" x14ac:dyDescent="0.3">
      <c r="B48" s="78">
        <v>36</v>
      </c>
      <c r="C48" s="79" t="str">
        <f>DASAR!B37</f>
        <v>BONEGUNU</v>
      </c>
      <c r="D48" s="79" t="str">
        <f>DASAR!D37</f>
        <v>RANTE GOLA</v>
      </c>
      <c r="E48" s="80">
        <f t="shared" si="0"/>
        <v>1925329.2307692308</v>
      </c>
      <c r="F48" s="81">
        <f>DASAR!F37</f>
        <v>4.0682990580873171E-3</v>
      </c>
      <c r="G48" s="82">
        <f t="shared" si="1"/>
        <v>100117120</v>
      </c>
      <c r="H48" s="82">
        <f t="shared" si="2"/>
        <v>407306.38499441493</v>
      </c>
      <c r="I48" s="83">
        <f t="shared" si="3"/>
        <v>2333000</v>
      </c>
    </row>
    <row r="49" spans="2:9" s="67" customFormat="1" ht="21" customHeight="1" x14ac:dyDescent="0.3">
      <c r="B49" s="61">
        <v>37</v>
      </c>
      <c r="C49" s="62" t="str">
        <f>DASAR!B38</f>
        <v>BONEGUNU</v>
      </c>
      <c r="D49" s="62" t="str">
        <f>DASAR!D38</f>
        <v>NGAPA'EA</v>
      </c>
      <c r="E49" s="63">
        <f t="shared" si="0"/>
        <v>1925329.2307692308</v>
      </c>
      <c r="F49" s="64">
        <f>DASAR!F38</f>
        <v>8.3527380333944662E-3</v>
      </c>
      <c r="G49" s="65">
        <f t="shared" si="1"/>
        <v>100117120</v>
      </c>
      <c r="H49" s="65">
        <f t="shared" si="2"/>
        <v>836252.07601791783</v>
      </c>
      <c r="I49" s="66">
        <f t="shared" si="3"/>
        <v>2762000</v>
      </c>
    </row>
    <row r="50" spans="2:9" s="84" customFormat="1" ht="21" customHeight="1" x14ac:dyDescent="0.3">
      <c r="B50" s="78">
        <v>38</v>
      </c>
      <c r="C50" s="79" t="str">
        <f>DASAR!B39</f>
        <v>BONEGUNU</v>
      </c>
      <c r="D50" s="79" t="str">
        <f>DASAR!D39</f>
        <v>KOBORUNO</v>
      </c>
      <c r="E50" s="80">
        <f t="shared" si="0"/>
        <v>1925329.2307692308</v>
      </c>
      <c r="F50" s="81">
        <f>DASAR!F39</f>
        <v>4.6368661997395824E-3</v>
      </c>
      <c r="G50" s="82">
        <f t="shared" si="1"/>
        <v>100117120</v>
      </c>
      <c r="H50" s="82">
        <f t="shared" si="2"/>
        <v>464229.68974327174</v>
      </c>
      <c r="I50" s="83">
        <f t="shared" si="3"/>
        <v>2390000</v>
      </c>
    </row>
    <row r="51" spans="2:9" s="67" customFormat="1" ht="21" customHeight="1" x14ac:dyDescent="0.3">
      <c r="B51" s="61">
        <v>39</v>
      </c>
      <c r="C51" s="62" t="str">
        <f>DASAR!B40</f>
        <v>BONEGUNU</v>
      </c>
      <c r="D51" s="62" t="str">
        <f>DASAR!D40</f>
        <v>DAMAI LABORONA</v>
      </c>
      <c r="E51" s="63">
        <f t="shared" si="0"/>
        <v>1925329.2307692308</v>
      </c>
      <c r="F51" s="64">
        <f>DASAR!F40</f>
        <v>0</v>
      </c>
      <c r="G51" s="65">
        <f t="shared" si="1"/>
        <v>100117120</v>
      </c>
      <c r="H51" s="65">
        <f t="shared" si="2"/>
        <v>0</v>
      </c>
      <c r="I51" s="66">
        <f t="shared" si="3"/>
        <v>1925000</v>
      </c>
    </row>
    <row r="52" spans="2:9" s="84" customFormat="1" ht="21" customHeight="1" x14ac:dyDescent="0.3">
      <c r="B52" s="78">
        <v>40</v>
      </c>
      <c r="C52" s="79" t="str">
        <f>DASAR!B41</f>
        <v>KULISUSU BARAT</v>
      </c>
      <c r="D52" s="79" t="str">
        <f>DASAR!D41</f>
        <v>KOTAWO</v>
      </c>
      <c r="E52" s="80">
        <f t="shared" si="0"/>
        <v>1925329.2307692308</v>
      </c>
      <c r="F52" s="81">
        <f>DASAR!F41</f>
        <v>9.6193445639871766E-3</v>
      </c>
      <c r="G52" s="82">
        <f t="shared" si="1"/>
        <v>100117120</v>
      </c>
      <c r="H52" s="82">
        <f t="shared" si="2"/>
        <v>963061.07403405185</v>
      </c>
      <c r="I52" s="83">
        <f t="shared" si="3"/>
        <v>2888000</v>
      </c>
    </row>
    <row r="53" spans="2:9" s="67" customFormat="1" ht="21" customHeight="1" x14ac:dyDescent="0.3">
      <c r="B53" s="61">
        <v>41</v>
      </c>
      <c r="C53" s="62" t="str">
        <f>DASAR!B42</f>
        <v>KULISUSU BARAT</v>
      </c>
      <c r="D53" s="62" t="str">
        <f>DASAR!D42</f>
        <v>KARYA BHAKTI</v>
      </c>
      <c r="E53" s="63">
        <f t="shared" si="0"/>
        <v>1925329.2307692308</v>
      </c>
      <c r="F53" s="64">
        <f>DASAR!F42</f>
        <v>1.3190460968680727E-2</v>
      </c>
      <c r="G53" s="65">
        <f t="shared" si="1"/>
        <v>100117120</v>
      </c>
      <c r="H53" s="65">
        <f t="shared" si="2"/>
        <v>1320590.9636567247</v>
      </c>
      <c r="I53" s="66">
        <f t="shared" si="3"/>
        <v>3246000</v>
      </c>
    </row>
    <row r="54" spans="2:9" s="84" customFormat="1" ht="21" customHeight="1" x14ac:dyDescent="0.3">
      <c r="B54" s="78">
        <v>42</v>
      </c>
      <c r="C54" s="79" t="str">
        <f>DASAR!B43</f>
        <v>KULISUSU BARAT</v>
      </c>
      <c r="D54" s="79" t="str">
        <f>DASAR!D43</f>
        <v>MARGAKARYA</v>
      </c>
      <c r="E54" s="80">
        <f t="shared" si="0"/>
        <v>1925329.2307692308</v>
      </c>
      <c r="F54" s="81">
        <f>DASAR!F43</f>
        <v>4.1191314037486236E-2</v>
      </c>
      <c r="G54" s="82">
        <f t="shared" si="1"/>
        <v>100117120</v>
      </c>
      <c r="H54" s="82">
        <f t="shared" si="2"/>
        <v>4123955.730448694</v>
      </c>
      <c r="I54" s="83">
        <f t="shared" si="3"/>
        <v>6049000</v>
      </c>
    </row>
    <row r="55" spans="2:9" s="67" customFormat="1" ht="21" customHeight="1" x14ac:dyDescent="0.3">
      <c r="B55" s="61">
        <v>43</v>
      </c>
      <c r="C55" s="62" t="str">
        <f>DASAR!B44</f>
        <v>KULISUSU BARAT</v>
      </c>
      <c r="D55" s="62" t="str">
        <f>DASAR!D44</f>
        <v>KASULATOMBI</v>
      </c>
      <c r="E55" s="63">
        <f t="shared" si="0"/>
        <v>1925329.2307692308</v>
      </c>
      <c r="F55" s="64">
        <f>DASAR!F44</f>
        <v>9.9862631673701963E-3</v>
      </c>
      <c r="G55" s="65">
        <f t="shared" si="1"/>
        <v>100117120</v>
      </c>
      <c r="H55" s="65">
        <f t="shared" si="2"/>
        <v>999795.90787918202</v>
      </c>
      <c r="I55" s="66">
        <f t="shared" si="3"/>
        <v>2925000</v>
      </c>
    </row>
    <row r="56" spans="2:9" s="84" customFormat="1" ht="21" customHeight="1" x14ac:dyDescent="0.3">
      <c r="B56" s="78">
        <v>44</v>
      </c>
      <c r="C56" s="79" t="str">
        <f>DASAR!B45</f>
        <v>KULISUSU BARAT</v>
      </c>
      <c r="D56" s="79" t="str">
        <f>DASAR!D45</f>
        <v>DAMPALA JAYA</v>
      </c>
      <c r="E56" s="80">
        <f t="shared" si="0"/>
        <v>1925329.2307692308</v>
      </c>
      <c r="F56" s="81">
        <f>DASAR!F45</f>
        <v>1.1859129427464593E-2</v>
      </c>
      <c r="G56" s="82">
        <f t="shared" si="1"/>
        <v>100117120</v>
      </c>
      <c r="H56" s="82">
        <f t="shared" si="2"/>
        <v>1187301.8839850039</v>
      </c>
      <c r="I56" s="83">
        <f t="shared" si="3"/>
        <v>3113000</v>
      </c>
    </row>
    <row r="57" spans="2:9" s="67" customFormat="1" ht="21" customHeight="1" x14ac:dyDescent="0.3">
      <c r="B57" s="61">
        <v>45</v>
      </c>
      <c r="C57" s="62" t="str">
        <f>DASAR!B46</f>
        <v>KULISUSU BARAT</v>
      </c>
      <c r="D57" s="62" t="str">
        <f>DASAR!D46</f>
        <v>RAHMAT BARU</v>
      </c>
      <c r="E57" s="63">
        <f t="shared" si="0"/>
        <v>1925329.2307692308</v>
      </c>
      <c r="F57" s="64">
        <f>DASAR!F46</f>
        <v>6.5539233865187967E-3</v>
      </c>
      <c r="G57" s="65">
        <f t="shared" si="1"/>
        <v>100117120</v>
      </c>
      <c r="H57" s="65">
        <f t="shared" si="2"/>
        <v>656159.93415890879</v>
      </c>
      <c r="I57" s="66">
        <f t="shared" si="3"/>
        <v>2581000</v>
      </c>
    </row>
    <row r="58" spans="2:9" s="113" customFormat="1" ht="21" customHeight="1" x14ac:dyDescent="0.3">
      <c r="B58" s="107">
        <v>46</v>
      </c>
      <c r="C58" s="108" t="str">
        <f>DASAR!B47</f>
        <v>KULISUSU BARAT</v>
      </c>
      <c r="D58" s="108" t="str">
        <f>DASAR!D47</f>
        <v>SOLOY AGUNG</v>
      </c>
      <c r="E58" s="109">
        <f t="shared" si="0"/>
        <v>1925329.2307692308</v>
      </c>
      <c r="F58" s="110">
        <f>DASAR!F47</f>
        <v>0</v>
      </c>
      <c r="G58" s="111">
        <f t="shared" si="1"/>
        <v>100117120</v>
      </c>
      <c r="H58" s="111">
        <f t="shared" si="2"/>
        <v>0</v>
      </c>
      <c r="I58" s="112">
        <f>ROUND(E58+H58,-3)</f>
        <v>1925000</v>
      </c>
    </row>
    <row r="59" spans="2:9" s="67" customFormat="1" ht="21" customHeight="1" x14ac:dyDescent="0.3">
      <c r="B59" s="61">
        <v>47</v>
      </c>
      <c r="C59" s="62" t="str">
        <f>DASAR!B48</f>
        <v>KULISUSU BARAT</v>
      </c>
      <c r="D59" s="62" t="str">
        <f>DASAR!D48</f>
        <v>BUMI LAPERO</v>
      </c>
      <c r="E59" s="63">
        <f t="shared" si="0"/>
        <v>1925329.2307692308</v>
      </c>
      <c r="F59" s="64">
        <f>DASAR!F48</f>
        <v>1.4687245939851648E-2</v>
      </c>
      <c r="G59" s="65">
        <f t="shared" si="1"/>
        <v>100117120</v>
      </c>
      <c r="H59" s="65">
        <f t="shared" si="2"/>
        <v>1470444.7642296401</v>
      </c>
      <c r="I59" s="66">
        <f t="shared" si="3"/>
        <v>3396000</v>
      </c>
    </row>
    <row r="60" spans="2:9" s="84" customFormat="1" ht="21" customHeight="1" x14ac:dyDescent="0.3">
      <c r="B60" s="78">
        <v>48</v>
      </c>
      <c r="C60" s="79" t="str">
        <f>DASAR!B49</f>
        <v>KULISUSU BARAT</v>
      </c>
      <c r="D60" s="79" t="str">
        <f>DASAR!D49</f>
        <v>KARYA MULYA</v>
      </c>
      <c r="E60" s="80">
        <f t="shared" si="0"/>
        <v>1925329.2307692308</v>
      </c>
      <c r="F60" s="81">
        <f>DASAR!F49</f>
        <v>0</v>
      </c>
      <c r="G60" s="82">
        <f t="shared" si="1"/>
        <v>100117120</v>
      </c>
      <c r="H60" s="82">
        <f t="shared" si="2"/>
        <v>0</v>
      </c>
      <c r="I60" s="83">
        <f t="shared" si="3"/>
        <v>1925000</v>
      </c>
    </row>
    <row r="61" spans="2:9" s="67" customFormat="1" ht="21" customHeight="1" x14ac:dyDescent="0.3">
      <c r="B61" s="61">
        <v>49</v>
      </c>
      <c r="C61" s="62" t="str">
        <f>DASAR!B50</f>
        <v>KULISUSU BARAT</v>
      </c>
      <c r="D61" s="62" t="str">
        <f>DASAR!D50</f>
        <v>LAMBALE</v>
      </c>
      <c r="E61" s="63">
        <f t="shared" si="0"/>
        <v>1925329.2307692308</v>
      </c>
      <c r="F61" s="64">
        <f>DASAR!F50</f>
        <v>4.2815690377197343E-3</v>
      </c>
      <c r="G61" s="65">
        <f t="shared" si="1"/>
        <v>100117120</v>
      </c>
      <c r="H61" s="65">
        <f t="shared" si="2"/>
        <v>428658.36113767116</v>
      </c>
      <c r="I61" s="66">
        <f t="shared" si="3"/>
        <v>2354000</v>
      </c>
    </row>
    <row r="62" spans="2:9" s="84" customFormat="1" ht="21" customHeight="1" x14ac:dyDescent="0.3">
      <c r="B62" s="78">
        <v>50</v>
      </c>
      <c r="C62" s="79" t="str">
        <f>DASAR!B51</f>
        <v>KULISUSU BARAT</v>
      </c>
      <c r="D62" s="79" t="str">
        <f>DASAR!D51</f>
        <v>LAPANDEWA</v>
      </c>
      <c r="E62" s="80">
        <f t="shared" si="0"/>
        <v>1925329.2307692308</v>
      </c>
      <c r="F62" s="81">
        <f>DASAR!F51</f>
        <v>1.9883399908986028E-2</v>
      </c>
      <c r="G62" s="82">
        <f t="shared" si="1"/>
        <v>100117120</v>
      </c>
      <c r="H62" s="82">
        <f t="shared" si="2"/>
        <v>1990668.7346959433</v>
      </c>
      <c r="I62" s="83">
        <f t="shared" si="3"/>
        <v>3916000</v>
      </c>
    </row>
    <row r="63" spans="2:9" s="67" customFormat="1" ht="21" customHeight="1" x14ac:dyDescent="0.3">
      <c r="B63" s="61">
        <v>51</v>
      </c>
      <c r="C63" s="62" t="str">
        <f>DASAR!B52</f>
        <v>KULISUSU BARAT</v>
      </c>
      <c r="D63" s="62" t="str">
        <f>DASAR!D52</f>
        <v>LAUKI</v>
      </c>
      <c r="E63" s="63">
        <f t="shared" si="0"/>
        <v>1925329.2307692308</v>
      </c>
      <c r="F63" s="64">
        <f>DASAR!F52</f>
        <v>5.6068023088445074E-3</v>
      </c>
      <c r="G63" s="65">
        <f t="shared" si="1"/>
        <v>100117120</v>
      </c>
      <c r="H63" s="65">
        <f t="shared" si="2"/>
        <v>561336.89957086265</v>
      </c>
      <c r="I63" s="66">
        <f t="shared" si="3"/>
        <v>2487000</v>
      </c>
    </row>
    <row r="64" spans="2:9" s="84" customFormat="1" ht="21" customHeight="1" x14ac:dyDescent="0.3">
      <c r="B64" s="78">
        <v>52</v>
      </c>
      <c r="C64" s="79" t="str">
        <f>DASAR!B53</f>
        <v>KULISUSU BARAT</v>
      </c>
      <c r="D64" s="79" t="str">
        <f>DASAR!D53</f>
        <v>MEKAR JAYA</v>
      </c>
      <c r="E64" s="80">
        <f t="shared" si="0"/>
        <v>1925329.2307692308</v>
      </c>
      <c r="F64" s="81">
        <f>DASAR!F53</f>
        <v>2.6994116191759739E-2</v>
      </c>
      <c r="G64" s="82">
        <f t="shared" si="1"/>
        <v>100117120</v>
      </c>
      <c r="H64" s="82">
        <f t="shared" si="2"/>
        <v>2702573.1700643529</v>
      </c>
      <c r="I64" s="83">
        <f t="shared" si="3"/>
        <v>4628000</v>
      </c>
    </row>
    <row r="65" spans="2:9" s="67" customFormat="1" ht="21" customHeight="1" x14ac:dyDescent="0.3">
      <c r="B65" s="61">
        <v>53</v>
      </c>
      <c r="C65" s="62" t="str">
        <f>DASAR!B54</f>
        <v>KULISUSU BARAT</v>
      </c>
      <c r="D65" s="62" t="str">
        <f>DASAR!D54</f>
        <v>LABULANDA</v>
      </c>
      <c r="E65" s="63">
        <f t="shared" si="0"/>
        <v>1925329.2307692308</v>
      </c>
      <c r="F65" s="64">
        <f>DASAR!F54</f>
        <v>2.7897849258492449E-4</v>
      </c>
      <c r="G65" s="65">
        <f t="shared" si="1"/>
        <v>100117120</v>
      </c>
      <c r="H65" s="65">
        <f t="shared" si="2"/>
        <v>27930.523219543997</v>
      </c>
      <c r="I65" s="66">
        <f t="shared" si="3"/>
        <v>1953000</v>
      </c>
    </row>
    <row r="66" spans="2:9" s="84" customFormat="1" ht="21" customHeight="1" x14ac:dyDescent="0.3">
      <c r="B66" s="78">
        <v>54</v>
      </c>
      <c r="C66" s="79" t="str">
        <f>DASAR!B55</f>
        <v>KULISUSU UTARA</v>
      </c>
      <c r="D66" s="79" t="str">
        <f>DASAR!D55</f>
        <v>KOROLABU</v>
      </c>
      <c r="E66" s="80">
        <f t="shared" si="0"/>
        <v>1925329.2307692308</v>
      </c>
      <c r="F66" s="81">
        <f>DASAR!F55</f>
        <v>8.1927327618219817E-3</v>
      </c>
      <c r="G66" s="82">
        <f t="shared" si="1"/>
        <v>100117120</v>
      </c>
      <c r="H66" s="82">
        <f t="shared" si="2"/>
        <v>820232.80904326274</v>
      </c>
      <c r="I66" s="83">
        <f t="shared" si="3"/>
        <v>2746000</v>
      </c>
    </row>
    <row r="67" spans="2:9" s="67" customFormat="1" ht="21" customHeight="1" x14ac:dyDescent="0.3">
      <c r="B67" s="61">
        <v>55</v>
      </c>
      <c r="C67" s="62" t="str">
        <f>DASAR!B56</f>
        <v>KULISUSU UTARA</v>
      </c>
      <c r="D67" s="62" t="str">
        <f>DASAR!D56</f>
        <v>TOROMBIA</v>
      </c>
      <c r="E67" s="63">
        <f t="shared" si="0"/>
        <v>1925329.2307692308</v>
      </c>
      <c r="F67" s="64">
        <f>DASAR!F56</f>
        <v>7.5585293418515493E-3</v>
      </c>
      <c r="G67" s="65">
        <f t="shared" si="1"/>
        <v>100117120</v>
      </c>
      <c r="H67" s="65">
        <f t="shared" si="2"/>
        <v>756738.18914167257</v>
      </c>
      <c r="I67" s="66">
        <f t="shared" si="3"/>
        <v>2682000</v>
      </c>
    </row>
    <row r="68" spans="2:9" s="84" customFormat="1" ht="21" customHeight="1" x14ac:dyDescent="0.3">
      <c r="B68" s="78">
        <v>56</v>
      </c>
      <c r="C68" s="79" t="str">
        <f>DASAR!B57</f>
        <v>KULISUSU UTARA</v>
      </c>
      <c r="D68" s="79" t="str">
        <f>DASAR!D57</f>
        <v>LAMOAHI</v>
      </c>
      <c r="E68" s="80">
        <f t="shared" si="0"/>
        <v>1925329.2307692308</v>
      </c>
      <c r="F68" s="81">
        <f>DASAR!F57</f>
        <v>6.6185344886803754E-3</v>
      </c>
      <c r="G68" s="82">
        <f t="shared" si="1"/>
        <v>100117120</v>
      </c>
      <c r="H68" s="82">
        <f t="shared" si="2"/>
        <v>662628.61162735173</v>
      </c>
      <c r="I68" s="83">
        <f t="shared" si="3"/>
        <v>2588000</v>
      </c>
    </row>
    <row r="69" spans="2:9" s="67" customFormat="1" ht="21" customHeight="1" x14ac:dyDescent="0.3">
      <c r="B69" s="61">
        <v>57</v>
      </c>
      <c r="C69" s="62" t="str">
        <f>DASAR!B58</f>
        <v>KULISUSU UTARA</v>
      </c>
      <c r="D69" s="62" t="str">
        <f>DASAR!D58</f>
        <v>LANOSANGIA</v>
      </c>
      <c r="E69" s="63">
        <f t="shared" si="0"/>
        <v>1925329.2307692308</v>
      </c>
      <c r="F69" s="64">
        <f>DASAR!F58</f>
        <v>1.5005667321041145E-2</v>
      </c>
      <c r="G69" s="65">
        <f t="shared" si="1"/>
        <v>100117120</v>
      </c>
      <c r="H69" s="65">
        <f t="shared" si="2"/>
        <v>1502324.1958607549</v>
      </c>
      <c r="I69" s="66">
        <f t="shared" si="3"/>
        <v>3428000</v>
      </c>
    </row>
    <row r="70" spans="2:9" s="84" customFormat="1" ht="21" customHeight="1" x14ac:dyDescent="0.3">
      <c r="B70" s="78">
        <v>58</v>
      </c>
      <c r="C70" s="79" t="str">
        <f>DASAR!B59</f>
        <v>KULISUSU UTARA</v>
      </c>
      <c r="D70" s="79" t="str">
        <f>DASAR!D59</f>
        <v>PEBAOA</v>
      </c>
      <c r="E70" s="80">
        <f t="shared" si="0"/>
        <v>1925329.2307692308</v>
      </c>
      <c r="F70" s="81">
        <f>DASAR!F59</f>
        <v>1.2935044858166336E-2</v>
      </c>
      <c r="G70" s="82">
        <f t="shared" si="1"/>
        <v>100117120</v>
      </c>
      <c r="H70" s="82">
        <f t="shared" si="2"/>
        <v>1295019.4382704222</v>
      </c>
      <c r="I70" s="83">
        <f t="shared" si="3"/>
        <v>3220000</v>
      </c>
    </row>
    <row r="71" spans="2:9" s="67" customFormat="1" ht="21" customHeight="1" x14ac:dyDescent="0.3">
      <c r="B71" s="61">
        <v>59</v>
      </c>
      <c r="C71" s="62" t="str">
        <f>DASAR!B60</f>
        <v>KULISUSU UTARA</v>
      </c>
      <c r="D71" s="62" t="str">
        <f>DASAR!D60</f>
        <v>PETETEA'A</v>
      </c>
      <c r="E71" s="63">
        <f t="shared" si="0"/>
        <v>1925329.2307692308</v>
      </c>
      <c r="F71" s="64">
        <f>DASAR!F60</f>
        <v>2.8585898041852697E-2</v>
      </c>
      <c r="G71" s="65">
        <f t="shared" si="1"/>
        <v>100117120</v>
      </c>
      <c r="H71" s="65">
        <f t="shared" si="2"/>
        <v>2861937.7845639316</v>
      </c>
      <c r="I71" s="66">
        <f t="shared" si="3"/>
        <v>4787000</v>
      </c>
    </row>
    <row r="72" spans="2:9" s="84" customFormat="1" ht="21" customHeight="1" x14ac:dyDescent="0.3">
      <c r="B72" s="78">
        <v>60</v>
      </c>
      <c r="C72" s="79" t="str">
        <f>DASAR!B61</f>
        <v>KULISUSU UTARA</v>
      </c>
      <c r="D72" s="79" t="str">
        <f>DASAR!D61</f>
        <v>LELAMO</v>
      </c>
      <c r="E72" s="80">
        <f t="shared" si="0"/>
        <v>1925329.2307692308</v>
      </c>
      <c r="F72" s="81">
        <f>DASAR!F61</f>
        <v>1.0570783050190838E-2</v>
      </c>
      <c r="G72" s="82">
        <f t="shared" si="1"/>
        <v>100117120</v>
      </c>
      <c r="H72" s="82">
        <f t="shared" si="2"/>
        <v>1058316.355129922</v>
      </c>
      <c r="I72" s="83">
        <f t="shared" si="3"/>
        <v>2984000</v>
      </c>
    </row>
    <row r="73" spans="2:9" s="67" customFormat="1" ht="21" customHeight="1" x14ac:dyDescent="0.3">
      <c r="B73" s="61">
        <v>61</v>
      </c>
      <c r="C73" s="62" t="str">
        <f>DASAR!B62</f>
        <v>KULISUSU UTARA</v>
      </c>
      <c r="D73" s="62" t="str">
        <f>DASAR!D62</f>
        <v>WAODEBURI</v>
      </c>
      <c r="E73" s="63">
        <f t="shared" si="0"/>
        <v>1925329.2307692308</v>
      </c>
      <c r="F73" s="64">
        <f>DASAR!F62</f>
        <v>2.3702125527174961E-2</v>
      </c>
      <c r="G73" s="65">
        <f t="shared" si="1"/>
        <v>100117120</v>
      </c>
      <c r="H73" s="65">
        <f t="shared" si="2"/>
        <v>2372988.5456592389</v>
      </c>
      <c r="I73" s="66">
        <f t="shared" si="3"/>
        <v>4298000</v>
      </c>
    </row>
    <row r="74" spans="2:9" s="84" customFormat="1" ht="21" customHeight="1" x14ac:dyDescent="0.3">
      <c r="B74" s="78">
        <v>62</v>
      </c>
      <c r="C74" s="79" t="str">
        <f>DASAR!B63</f>
        <v>KULISUSU UTARA</v>
      </c>
      <c r="D74" s="79" t="str">
        <f>DASAR!D63</f>
        <v>ULU NAMBO</v>
      </c>
      <c r="E74" s="80">
        <f t="shared" si="0"/>
        <v>1925329.2307692308</v>
      </c>
      <c r="F74" s="81">
        <f>DASAR!F63</f>
        <v>1.364865081080696E-2</v>
      </c>
      <c r="G74" s="82">
        <f t="shared" si="1"/>
        <v>100117120</v>
      </c>
      <c r="H74" s="82">
        <f t="shared" si="2"/>
        <v>1366463.6110636578</v>
      </c>
      <c r="I74" s="83">
        <f t="shared" si="3"/>
        <v>3292000</v>
      </c>
    </row>
    <row r="75" spans="2:9" s="67" customFormat="1" ht="21" customHeight="1" x14ac:dyDescent="0.3">
      <c r="B75" s="61">
        <v>63</v>
      </c>
      <c r="C75" s="62" t="str">
        <f>DASAR!B64</f>
        <v>KULISUSU UTARA</v>
      </c>
      <c r="D75" s="62" t="str">
        <f>DASAR!D64</f>
        <v>BIRA</v>
      </c>
      <c r="E75" s="63">
        <f t="shared" si="0"/>
        <v>1925329.2307692308</v>
      </c>
      <c r="F75" s="64">
        <f>DASAR!F64</f>
        <v>7.5813999383855237E-3</v>
      </c>
      <c r="G75" s="65">
        <f t="shared" si="1"/>
        <v>100117120</v>
      </c>
      <c r="H75" s="65">
        <f t="shared" si="2"/>
        <v>759027.92739933613</v>
      </c>
      <c r="I75" s="66">
        <f t="shared" si="3"/>
        <v>2684000</v>
      </c>
    </row>
    <row r="76" spans="2:9" s="84" customFormat="1" ht="21" customHeight="1" x14ac:dyDescent="0.3">
      <c r="B76" s="78">
        <v>64</v>
      </c>
      <c r="C76" s="79" t="str">
        <f>DASAR!B65</f>
        <v>KULISUSU UTARA</v>
      </c>
      <c r="D76" s="79" t="str">
        <f>DASAR!D65</f>
        <v>E'ERINERE</v>
      </c>
      <c r="E76" s="80">
        <f t="shared" si="0"/>
        <v>1925329.2307692308</v>
      </c>
      <c r="F76" s="81">
        <f>DASAR!F65</f>
        <v>5.1130702483680388E-3</v>
      </c>
      <c r="G76" s="82">
        <f t="shared" si="1"/>
        <v>100117120</v>
      </c>
      <c r="H76" s="82">
        <f t="shared" si="2"/>
        <v>511905.86762429273</v>
      </c>
      <c r="I76" s="83">
        <f t="shared" si="3"/>
        <v>2437000</v>
      </c>
    </row>
    <row r="77" spans="2:9" s="67" customFormat="1" ht="21" customHeight="1" x14ac:dyDescent="0.3">
      <c r="B77" s="61">
        <v>65</v>
      </c>
      <c r="C77" s="62" t="str">
        <f>DASAR!B66</f>
        <v>KULISUSU UTARA</v>
      </c>
      <c r="D77" s="62" t="str">
        <f>DASAR!D66</f>
        <v>LABELETE</v>
      </c>
      <c r="E77" s="63">
        <f t="shared" si="0"/>
        <v>1925329.2307692308</v>
      </c>
      <c r="F77" s="64">
        <f>DASAR!F66</f>
        <v>1.3176586362377195E-2</v>
      </c>
      <c r="G77" s="65">
        <f t="shared" si="1"/>
        <v>100117120</v>
      </c>
      <c r="H77" s="65">
        <f t="shared" si="2"/>
        <v>1319201.8780324811</v>
      </c>
      <c r="I77" s="66">
        <f t="shared" si="3"/>
        <v>3245000</v>
      </c>
    </row>
    <row r="78" spans="2:9" s="84" customFormat="1" ht="21" customHeight="1" x14ac:dyDescent="0.3">
      <c r="B78" s="78">
        <v>66</v>
      </c>
      <c r="C78" s="79" t="str">
        <f>DASAR!B67</f>
        <v>KULISUSU UTARA</v>
      </c>
      <c r="D78" s="79" t="str">
        <f>DASAR!D67</f>
        <v>WAMBOULE</v>
      </c>
      <c r="E78" s="80">
        <f t="shared" ref="E78:E90" si="4">E$97</f>
        <v>1925329.2307692308</v>
      </c>
      <c r="F78" s="81">
        <f>DASAR!F67</f>
        <v>1.1354742758423037E-2</v>
      </c>
      <c r="G78" s="82">
        <f t="shared" ref="G78:G90" si="5">E$99</f>
        <v>100117120</v>
      </c>
      <c r="H78" s="82">
        <f t="shared" ref="H78:H90" si="6">F78*G78</f>
        <v>1136804.1433141702</v>
      </c>
      <c r="I78" s="83">
        <f t="shared" ref="I78:I90" si="7">ROUND(E78+H78,-3)</f>
        <v>3062000</v>
      </c>
    </row>
    <row r="79" spans="2:9" s="67" customFormat="1" ht="21" customHeight="1" x14ac:dyDescent="0.3">
      <c r="B79" s="61">
        <v>67</v>
      </c>
      <c r="C79" s="62" t="str">
        <f>DASAR!B68</f>
        <v>KULISUSU UTARA</v>
      </c>
      <c r="D79" s="62" t="str">
        <f>DASAR!D68</f>
        <v>WOWONGA JAYA</v>
      </c>
      <c r="E79" s="63">
        <f t="shared" si="4"/>
        <v>1925329.2307692308</v>
      </c>
      <c r="F79" s="64">
        <f>DASAR!F68</f>
        <v>6.4495443398981164E-3</v>
      </c>
      <c r="G79" s="65">
        <f t="shared" si="5"/>
        <v>100117120</v>
      </c>
      <c r="H79" s="65">
        <f t="shared" si="6"/>
        <v>645709.80462290056</v>
      </c>
      <c r="I79" s="66">
        <f t="shared" si="7"/>
        <v>2571000</v>
      </c>
    </row>
    <row r="80" spans="2:9" s="84" customFormat="1" ht="21" customHeight="1" x14ac:dyDescent="0.3">
      <c r="B80" s="78">
        <v>68</v>
      </c>
      <c r="C80" s="79" t="str">
        <f>DASAR!B69</f>
        <v>WAKORUMBA UTARA</v>
      </c>
      <c r="D80" s="79" t="str">
        <f>DASAR!D69</f>
        <v>LASIWA</v>
      </c>
      <c r="E80" s="80">
        <f t="shared" si="4"/>
        <v>1925329.2307692308</v>
      </c>
      <c r="F80" s="81">
        <f>DASAR!F69</f>
        <v>1.2246084807111342E-2</v>
      </c>
      <c r="G80" s="82">
        <f t="shared" si="5"/>
        <v>100117120</v>
      </c>
      <c r="H80" s="82">
        <f t="shared" si="6"/>
        <v>1226042.7421637431</v>
      </c>
      <c r="I80" s="83">
        <f t="shared" si="7"/>
        <v>3151000</v>
      </c>
    </row>
    <row r="81" spans="1:9" s="67" customFormat="1" ht="21" customHeight="1" x14ac:dyDescent="0.3">
      <c r="B81" s="61">
        <v>69</v>
      </c>
      <c r="C81" s="62" t="str">
        <f>DASAR!B70</f>
        <v>WAKORUMBA UTARA</v>
      </c>
      <c r="D81" s="62" t="str">
        <f>DASAR!D70</f>
        <v>LAEA</v>
      </c>
      <c r="E81" s="63">
        <f t="shared" si="4"/>
        <v>1925329.2307692308</v>
      </c>
      <c r="F81" s="64">
        <f>DASAR!F70</f>
        <v>1.7351348158460372E-2</v>
      </c>
      <c r="G81" s="65">
        <f t="shared" si="5"/>
        <v>100117120</v>
      </c>
      <c r="H81" s="65">
        <f t="shared" si="6"/>
        <v>1737167.0057423562</v>
      </c>
      <c r="I81" s="66">
        <f t="shared" si="7"/>
        <v>3662000</v>
      </c>
    </row>
    <row r="82" spans="1:9" s="84" customFormat="1" ht="21" customHeight="1" x14ac:dyDescent="0.3">
      <c r="B82" s="78">
        <v>70</v>
      </c>
      <c r="C82" s="79" t="str">
        <f>DASAR!B71</f>
        <v>WAKORUMBA UTARA</v>
      </c>
      <c r="D82" s="79" t="str">
        <f>DASAR!D71</f>
        <v>MATALAGI</v>
      </c>
      <c r="E82" s="80">
        <f t="shared" si="4"/>
        <v>1925329.2307692308</v>
      </c>
      <c r="F82" s="81">
        <f>DASAR!F71</f>
        <v>3.1025117174231336E-2</v>
      </c>
      <c r="G82" s="82">
        <f t="shared" si="5"/>
        <v>100117120</v>
      </c>
      <c r="H82" s="82">
        <f t="shared" si="6"/>
        <v>3106145.3791465797</v>
      </c>
      <c r="I82" s="83">
        <f t="shared" si="7"/>
        <v>5031000</v>
      </c>
    </row>
    <row r="83" spans="1:9" s="67" customFormat="1" ht="21" customHeight="1" x14ac:dyDescent="0.3">
      <c r="B83" s="61">
        <v>71</v>
      </c>
      <c r="C83" s="62" t="str">
        <f>DASAR!B72</f>
        <v>WAKORUMBA UTARA</v>
      </c>
      <c r="D83" s="62" t="str">
        <f>DASAR!D72</f>
        <v>WANTULASI</v>
      </c>
      <c r="E83" s="63">
        <f t="shared" si="4"/>
        <v>1925329.2307692308</v>
      </c>
      <c r="F83" s="64">
        <f>DASAR!F72</f>
        <v>3.6261183557093492E-2</v>
      </c>
      <c r="G83" s="65">
        <f t="shared" si="5"/>
        <v>100117120</v>
      </c>
      <c r="H83" s="65">
        <f t="shared" si="6"/>
        <v>3630365.2655275562</v>
      </c>
      <c r="I83" s="66">
        <f>ROUND(E83+H83,-3)-200</f>
        <v>5555800</v>
      </c>
    </row>
    <row r="84" spans="1:9" s="84" customFormat="1" ht="21" customHeight="1" x14ac:dyDescent="0.3">
      <c r="B84" s="78">
        <v>72</v>
      </c>
      <c r="C84" s="79" t="str">
        <f>DASAR!B73</f>
        <v>WAKORUMBA UTARA</v>
      </c>
      <c r="D84" s="79" t="str">
        <f>DASAR!D73</f>
        <v>LABUAN BAJO</v>
      </c>
      <c r="E84" s="80">
        <f t="shared" si="4"/>
        <v>1925329.2307692308</v>
      </c>
      <c r="F84" s="81">
        <f>DASAR!F73</f>
        <v>1.3809220068178326E-2</v>
      </c>
      <c r="G84" s="82">
        <f t="shared" si="5"/>
        <v>100117120</v>
      </c>
      <c r="H84" s="82">
        <f t="shared" si="6"/>
        <v>1382539.3426722176</v>
      </c>
      <c r="I84" s="83">
        <f t="shared" si="7"/>
        <v>3308000</v>
      </c>
    </row>
    <row r="85" spans="1:9" s="67" customFormat="1" ht="21" customHeight="1" x14ac:dyDescent="0.3">
      <c r="B85" s="61">
        <v>73</v>
      </c>
      <c r="C85" s="62" t="str">
        <f>DASAR!B74</f>
        <v>WAKORUMBA UTARA</v>
      </c>
      <c r="D85" s="62" t="str">
        <f>DASAR!D74</f>
        <v>LABARAGA</v>
      </c>
      <c r="E85" s="63">
        <f t="shared" si="4"/>
        <v>1925329.2307692308</v>
      </c>
      <c r="F85" s="64">
        <f>DASAR!F74</f>
        <v>9.6062617604062133E-3</v>
      </c>
      <c r="G85" s="65">
        <f t="shared" si="5"/>
        <v>100117120</v>
      </c>
      <c r="H85" s="65">
        <f t="shared" si="6"/>
        <v>961751.2614180001</v>
      </c>
      <c r="I85" s="66">
        <f t="shared" si="7"/>
        <v>2887000</v>
      </c>
    </row>
    <row r="86" spans="1:9" s="84" customFormat="1" ht="21" customHeight="1" x14ac:dyDescent="0.3">
      <c r="B86" s="78">
        <v>74</v>
      </c>
      <c r="C86" s="79" t="str">
        <f>DASAR!B75</f>
        <v>WAKORUMBA UTARA</v>
      </c>
      <c r="D86" s="79" t="str">
        <f>DASAR!D75</f>
        <v>WAMORAPA</v>
      </c>
      <c r="E86" s="80">
        <f t="shared" si="4"/>
        <v>1925329.2307692308</v>
      </c>
      <c r="F86" s="81">
        <f>DASAR!F75</f>
        <v>6.6063657310493247E-3</v>
      </c>
      <c r="G86" s="82">
        <f t="shared" si="5"/>
        <v>100117120</v>
      </c>
      <c r="H86" s="82">
        <f t="shared" si="6"/>
        <v>661410.31065935292</v>
      </c>
      <c r="I86" s="83">
        <f t="shared" si="7"/>
        <v>2587000</v>
      </c>
    </row>
    <row r="87" spans="1:9" s="67" customFormat="1" ht="21" customHeight="1" x14ac:dyDescent="0.3">
      <c r="B87" s="61">
        <v>75</v>
      </c>
      <c r="C87" s="62" t="str">
        <f>DASAR!B76</f>
        <v>WAKORUMBA UTARA</v>
      </c>
      <c r="D87" s="62" t="str">
        <f>DASAR!D76</f>
        <v>SUMAMPENO</v>
      </c>
      <c r="E87" s="63">
        <f t="shared" si="4"/>
        <v>1925329.2307692308</v>
      </c>
      <c r="F87" s="64">
        <f>DASAR!F76</f>
        <v>8.1748157942506013E-3</v>
      </c>
      <c r="G87" s="65">
        <f t="shared" si="5"/>
        <v>100117120</v>
      </c>
      <c r="H87" s="65">
        <f t="shared" si="6"/>
        <v>818439.01385088277</v>
      </c>
      <c r="I87" s="66">
        <f t="shared" si="7"/>
        <v>2744000</v>
      </c>
    </row>
    <row r="88" spans="1:9" s="84" customFormat="1" ht="21" customHeight="1" x14ac:dyDescent="0.3">
      <c r="B88" s="78">
        <v>76</v>
      </c>
      <c r="C88" s="79" t="str">
        <f>DASAR!B77</f>
        <v>WAKORUMBA UTARA</v>
      </c>
      <c r="D88" s="79" t="str">
        <f>DASAR!D77</f>
        <v>OENGKAPALA</v>
      </c>
      <c r="E88" s="80">
        <f t="shared" si="4"/>
        <v>1925329.2307692308</v>
      </c>
      <c r="F88" s="81">
        <f>DASAR!F77</f>
        <v>1.175752863601082E-2</v>
      </c>
      <c r="G88" s="82">
        <f t="shared" si="5"/>
        <v>100117120</v>
      </c>
      <c r="H88" s="82">
        <f t="shared" si="6"/>
        <v>1177129.9053549315</v>
      </c>
      <c r="I88" s="83">
        <f t="shared" si="7"/>
        <v>3102000</v>
      </c>
    </row>
    <row r="89" spans="1:9" s="67" customFormat="1" ht="21" customHeight="1" x14ac:dyDescent="0.3">
      <c r="B89" s="61">
        <v>77</v>
      </c>
      <c r="C89" s="62" t="str">
        <f>DASAR!B78</f>
        <v>WAKORUMBA UTARA</v>
      </c>
      <c r="D89" s="62" t="str">
        <f>DASAR!D78</f>
        <v>LABUKO</v>
      </c>
      <c r="E89" s="63">
        <f t="shared" si="4"/>
        <v>1925329.2307692308</v>
      </c>
      <c r="F89" s="64">
        <f>DASAR!F78</f>
        <v>7.7242355930265249E-3</v>
      </c>
      <c r="G89" s="65">
        <f t="shared" si="5"/>
        <v>100117120</v>
      </c>
      <c r="H89" s="65">
        <f t="shared" si="6"/>
        <v>773328.22177530779</v>
      </c>
      <c r="I89" s="66">
        <f t="shared" si="7"/>
        <v>2699000</v>
      </c>
    </row>
    <row r="90" spans="1:9" s="84" customFormat="1" ht="21" customHeight="1" x14ac:dyDescent="0.3">
      <c r="B90" s="78">
        <v>78</v>
      </c>
      <c r="C90" s="79" t="str">
        <f>DASAR!B79</f>
        <v>WAKORUMBA UTARA</v>
      </c>
      <c r="D90" s="79" t="str">
        <f>DASAR!D79</f>
        <v>LABA JAYA</v>
      </c>
      <c r="E90" s="80">
        <f t="shared" si="4"/>
        <v>1925329.2307692308</v>
      </c>
      <c r="F90" s="81">
        <f>DASAR!F79</f>
        <v>2.2731367054540631E-2</v>
      </c>
      <c r="G90" s="82">
        <f t="shared" si="5"/>
        <v>100117120</v>
      </c>
      <c r="H90" s="82">
        <f t="shared" si="6"/>
        <v>2275799.0031634909</v>
      </c>
      <c r="I90" s="83">
        <f t="shared" si="7"/>
        <v>4201000</v>
      </c>
    </row>
    <row r="91" spans="1:9" s="67" customFormat="1" ht="21" customHeight="1" x14ac:dyDescent="0.3">
      <c r="B91" s="61"/>
      <c r="C91" s="62"/>
      <c r="D91" s="62"/>
      <c r="E91" s="68"/>
      <c r="F91" s="69"/>
      <c r="G91" s="61"/>
      <c r="H91" s="61"/>
      <c r="I91" s="70"/>
    </row>
    <row r="92" spans="1:9" s="74" customFormat="1" ht="21" customHeight="1" x14ac:dyDescent="0.25">
      <c r="A92" s="71"/>
      <c r="B92" s="274" t="s">
        <v>27</v>
      </c>
      <c r="C92" s="274"/>
      <c r="D92" s="274"/>
      <c r="E92" s="72">
        <f>SUM(E13:E90)</f>
        <v>150175679.99999994</v>
      </c>
      <c r="F92" s="73">
        <f>DASAR!F81</f>
        <v>0.99999999999999978</v>
      </c>
      <c r="G92" s="72">
        <f t="shared" ref="G92:I92" si="8">SUM(G13:G90)</f>
        <v>7809135360</v>
      </c>
      <c r="H92" s="72">
        <f t="shared" si="8"/>
        <v>100117119.99999999</v>
      </c>
      <c r="I92" s="72">
        <f t="shared" si="8"/>
        <v>250292800</v>
      </c>
    </row>
    <row r="93" spans="1:9" s="42" customFormat="1" x14ac:dyDescent="0.3"/>
    <row r="94" spans="1:9" s="42" customFormat="1" x14ac:dyDescent="0.3">
      <c r="C94" s="275" t="s">
        <v>28</v>
      </c>
      <c r="D94" s="276"/>
      <c r="E94" s="277"/>
      <c r="G94" s="275" t="s">
        <v>11</v>
      </c>
      <c r="H94" s="277"/>
    </row>
    <row r="95" spans="1:9" s="42" customFormat="1" x14ac:dyDescent="0.3">
      <c r="C95" s="268" t="s">
        <v>147</v>
      </c>
      <c r="D95" s="269"/>
      <c r="E95" s="34">
        <v>250292800</v>
      </c>
      <c r="F95" s="43"/>
      <c r="G95" s="44" t="s">
        <v>29</v>
      </c>
      <c r="H95" s="45">
        <v>0.25</v>
      </c>
    </row>
    <row r="96" spans="1:9" s="42" customFormat="1" x14ac:dyDescent="0.3">
      <c r="C96" s="278" t="s">
        <v>148</v>
      </c>
      <c r="D96" s="278"/>
      <c r="E96" s="46">
        <f>I92</f>
        <v>250292800</v>
      </c>
      <c r="F96" s="43"/>
      <c r="G96" s="44" t="s">
        <v>30</v>
      </c>
      <c r="H96" s="45">
        <v>0.35</v>
      </c>
    </row>
    <row r="97" spans="2:8" s="42" customFormat="1" x14ac:dyDescent="0.3">
      <c r="C97" s="268" t="s">
        <v>48</v>
      </c>
      <c r="D97" s="269"/>
      <c r="E97" s="34">
        <f>(E95*60%)/78</f>
        <v>1925329.2307692308</v>
      </c>
      <c r="F97" s="43"/>
      <c r="G97" s="44" t="s">
        <v>31</v>
      </c>
      <c r="H97" s="47">
        <v>0.1</v>
      </c>
    </row>
    <row r="98" spans="2:8" s="42" customFormat="1" x14ac:dyDescent="0.3">
      <c r="C98" s="268" t="s">
        <v>56</v>
      </c>
      <c r="D98" s="269"/>
      <c r="E98" s="46">
        <f>E90</f>
        <v>1925329.2307692308</v>
      </c>
      <c r="F98" s="43"/>
      <c r="G98" s="44" t="s">
        <v>8</v>
      </c>
      <c r="H98" s="45">
        <v>0.3</v>
      </c>
    </row>
    <row r="99" spans="2:8" s="42" customFormat="1" x14ac:dyDescent="0.3">
      <c r="C99" s="268" t="s">
        <v>49</v>
      </c>
      <c r="D99" s="269"/>
      <c r="E99" s="48">
        <f>E95*40%</f>
        <v>100117120</v>
      </c>
      <c r="F99" s="43"/>
    </row>
    <row r="100" spans="2:8" s="42" customFormat="1" ht="15" customHeight="1" x14ac:dyDescent="0.3">
      <c r="C100" s="268" t="s">
        <v>57</v>
      </c>
      <c r="D100" s="269"/>
      <c r="E100" s="49">
        <f>H92</f>
        <v>100117119.99999999</v>
      </c>
      <c r="F100" s="43"/>
    </row>
    <row r="101" spans="2:8" s="42" customFormat="1" x14ac:dyDescent="0.3">
      <c r="C101" s="268" t="s">
        <v>32</v>
      </c>
      <c r="D101" s="269"/>
      <c r="E101" s="49">
        <v>78</v>
      </c>
      <c r="F101" s="43"/>
    </row>
    <row r="102" spans="2:8" s="35" customFormat="1" x14ac:dyDescent="0.25">
      <c r="B102" s="36"/>
      <c r="C102" s="36"/>
      <c r="D102" s="37"/>
      <c r="E102" s="37"/>
      <c r="H102" s="59"/>
    </row>
    <row r="103" spans="2:8" s="35" customFormat="1" x14ac:dyDescent="0.25">
      <c r="B103" s="36"/>
      <c r="C103" s="36"/>
      <c r="D103" s="38"/>
      <c r="E103" s="39"/>
    </row>
    <row r="104" spans="2:8" s="35" customFormat="1" x14ac:dyDescent="0.25">
      <c r="B104" s="36"/>
      <c r="C104" s="36"/>
      <c r="D104" s="38"/>
      <c r="E104" s="39">
        <f>E95-I92</f>
        <v>0</v>
      </c>
    </row>
    <row r="105" spans="2:8" s="35" customFormat="1" x14ac:dyDescent="0.25">
      <c r="B105" s="36"/>
      <c r="C105" s="36"/>
      <c r="D105" s="40"/>
      <c r="E105" s="39"/>
    </row>
    <row r="106" spans="2:8" s="35" customFormat="1" x14ac:dyDescent="0.25">
      <c r="B106" s="36"/>
      <c r="C106" s="36"/>
      <c r="D106" s="38"/>
      <c r="E106" s="41"/>
    </row>
    <row r="107" spans="2:8" s="35" customFormat="1" x14ac:dyDescent="0.25"/>
    <row r="108" spans="2:8" s="35" customFormat="1" x14ac:dyDescent="0.25"/>
    <row r="109" spans="2:8" s="35" customFormat="1" x14ac:dyDescent="0.25"/>
    <row r="110" spans="2:8" s="35" customFormat="1" x14ac:dyDescent="0.25"/>
  </sheetData>
  <autoFilter ref="A12:I12"/>
  <mergeCells count="19">
    <mergeCell ref="C98:D98"/>
    <mergeCell ref="C99:D99"/>
    <mergeCell ref="C100:D100"/>
    <mergeCell ref="C101:D101"/>
    <mergeCell ref="B92:D92"/>
    <mergeCell ref="C94:E94"/>
    <mergeCell ref="G94:H94"/>
    <mergeCell ref="C95:D95"/>
    <mergeCell ref="C96:D96"/>
    <mergeCell ref="C97:D97"/>
    <mergeCell ref="B1:I1"/>
    <mergeCell ref="B6:I6"/>
    <mergeCell ref="B7:I7"/>
    <mergeCell ref="B9:B11"/>
    <mergeCell ref="C9:C11"/>
    <mergeCell ref="D9:D11"/>
    <mergeCell ref="E9:E11"/>
    <mergeCell ref="F9:H10"/>
    <mergeCell ref="I9:I11"/>
  </mergeCells>
  <pageMargins left="0.23622047244094491" right="0.15748031496062992" top="0.31496062992125984" bottom="0.31496062992125984" header="0.19685039370078741" footer="0.19685039370078741"/>
  <pageSetup paperSize="5" scale="61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1"/>
  <sheetViews>
    <sheetView zoomScale="85" zoomScaleNormal="85" workbookViewId="0">
      <selection activeCell="E21" sqref="E21"/>
    </sheetView>
  </sheetViews>
  <sheetFormatPr defaultRowHeight="15" x14ac:dyDescent="0.25"/>
  <cols>
    <col min="2" max="2" width="20" bestFit="1" customWidth="1"/>
    <col min="4" max="4" width="16.140625" bestFit="1" customWidth="1"/>
    <col min="5" max="5" width="13.42578125" style="56" customWidth="1"/>
    <col min="6" max="6" width="12.140625" style="60" customWidth="1"/>
    <col min="7" max="7" width="26.140625" style="60" customWidth="1"/>
    <col min="17" max="17" width="10.7109375" bestFit="1" customWidth="1"/>
  </cols>
  <sheetData>
    <row r="1" spans="1:17" x14ac:dyDescent="0.25">
      <c r="A1" t="s">
        <v>60</v>
      </c>
      <c r="B1" t="s">
        <v>61</v>
      </c>
      <c r="C1" t="s">
        <v>62</v>
      </c>
      <c r="D1" t="s">
        <v>63</v>
      </c>
      <c r="E1" s="56" t="s">
        <v>159</v>
      </c>
      <c r="H1" t="s">
        <v>64</v>
      </c>
      <c r="I1" t="s">
        <v>65</v>
      </c>
      <c r="J1" t="s">
        <v>66</v>
      </c>
      <c r="K1" t="s">
        <v>67</v>
      </c>
      <c r="Q1" t="s">
        <v>159</v>
      </c>
    </row>
    <row r="2" spans="1:17" x14ac:dyDescent="0.25">
      <c r="A2">
        <v>12</v>
      </c>
      <c r="B2" t="s">
        <v>68</v>
      </c>
      <c r="C2">
        <v>1</v>
      </c>
      <c r="D2" t="s">
        <v>69</v>
      </c>
      <c r="E2" s="56">
        <v>9315332</v>
      </c>
      <c r="F2" s="60">
        <f>E2/E$81</f>
        <v>2.5880369260450228E-2</v>
      </c>
      <c r="H2">
        <v>498</v>
      </c>
      <c r="I2">
        <v>143</v>
      </c>
      <c r="J2">
        <v>54.578850102294993</v>
      </c>
      <c r="K2">
        <v>36.029773379658053</v>
      </c>
      <c r="Q2">
        <v>9315332</v>
      </c>
    </row>
    <row r="3" spans="1:17" x14ac:dyDescent="0.25">
      <c r="A3">
        <v>12</v>
      </c>
      <c r="B3" t="s">
        <v>68</v>
      </c>
      <c r="C3">
        <v>2</v>
      </c>
      <c r="D3" t="s">
        <v>70</v>
      </c>
      <c r="E3" s="56">
        <v>2128523</v>
      </c>
      <c r="F3" s="60">
        <f t="shared" ref="F3:F66" si="0">E3/E$81</f>
        <v>5.9135800226294997E-3</v>
      </c>
      <c r="H3">
        <v>500</v>
      </c>
      <c r="I3">
        <v>53</v>
      </c>
      <c r="J3">
        <v>55.655691381571849</v>
      </c>
      <c r="K3">
        <v>35.52897432550823</v>
      </c>
      <c r="Q3">
        <v>9393993</v>
      </c>
    </row>
    <row r="4" spans="1:17" x14ac:dyDescent="0.25">
      <c r="A4">
        <v>12</v>
      </c>
      <c r="B4" t="s">
        <v>68</v>
      </c>
      <c r="C4">
        <v>3</v>
      </c>
      <c r="D4" t="s">
        <v>156</v>
      </c>
      <c r="E4" s="56">
        <v>13213273</v>
      </c>
      <c r="F4" s="60">
        <f t="shared" si="0"/>
        <v>3.6709843983997237E-2</v>
      </c>
      <c r="H4">
        <v>878</v>
      </c>
      <c r="I4">
        <v>61</v>
      </c>
      <c r="J4">
        <v>34.572272650467241</v>
      </c>
      <c r="K4">
        <v>28.353249126174486</v>
      </c>
      <c r="Q4">
        <v>13177730</v>
      </c>
    </row>
    <row r="5" spans="1:17" x14ac:dyDescent="0.25">
      <c r="A5">
        <v>12</v>
      </c>
      <c r="B5" t="s">
        <v>68</v>
      </c>
      <c r="C5">
        <v>4</v>
      </c>
      <c r="D5" t="s">
        <v>71</v>
      </c>
      <c r="E5" s="56">
        <v>10589851</v>
      </c>
      <c r="F5" s="60">
        <f t="shared" si="0"/>
        <v>2.9421308257520838E-2</v>
      </c>
      <c r="H5">
        <v>971</v>
      </c>
      <c r="I5">
        <v>31</v>
      </c>
      <c r="J5">
        <v>43.26634908420769</v>
      </c>
      <c r="K5">
        <v>30.785327072937363</v>
      </c>
      <c r="Q5">
        <v>10589851</v>
      </c>
    </row>
    <row r="6" spans="1:17" x14ac:dyDescent="0.25">
      <c r="A6">
        <v>12</v>
      </c>
      <c r="B6" t="s">
        <v>68</v>
      </c>
      <c r="C6">
        <v>5</v>
      </c>
      <c r="D6" t="s">
        <v>72</v>
      </c>
      <c r="E6" s="56">
        <v>5805575</v>
      </c>
      <c r="F6" s="60">
        <f t="shared" si="0"/>
        <v>1.6129368740613683E-2</v>
      </c>
      <c r="H6">
        <v>925</v>
      </c>
      <c r="I6">
        <v>65</v>
      </c>
      <c r="J6">
        <v>32.588617662325674</v>
      </c>
      <c r="K6">
        <v>20.263973841654508</v>
      </c>
      <c r="Q6">
        <v>5621725</v>
      </c>
    </row>
    <row r="7" spans="1:17" x14ac:dyDescent="0.25">
      <c r="A7">
        <v>12</v>
      </c>
      <c r="B7" t="s">
        <v>68</v>
      </c>
      <c r="C7">
        <v>6</v>
      </c>
      <c r="D7" t="s">
        <v>73</v>
      </c>
      <c r="E7" s="56">
        <v>9658177</v>
      </c>
      <c r="F7" s="60">
        <f t="shared" si="0"/>
        <v>2.6832880153148317E-2</v>
      </c>
      <c r="H7">
        <v>591</v>
      </c>
      <c r="I7">
        <v>150</v>
      </c>
      <c r="J7">
        <v>48.027121055747436</v>
      </c>
      <c r="K7">
        <v>34.641108578676509</v>
      </c>
      <c r="Q7">
        <v>9658177</v>
      </c>
    </row>
    <row r="8" spans="1:17" x14ac:dyDescent="0.25">
      <c r="A8">
        <v>12</v>
      </c>
      <c r="B8" t="s">
        <v>68</v>
      </c>
      <c r="C8">
        <v>7</v>
      </c>
      <c r="D8" t="s">
        <v>74</v>
      </c>
      <c r="E8" s="56">
        <v>5881627</v>
      </c>
      <c r="F8" s="60">
        <f t="shared" si="0"/>
        <v>1.6340660602567263E-2</v>
      </c>
      <c r="H8">
        <v>1176</v>
      </c>
      <c r="I8">
        <v>98</v>
      </c>
      <c r="J8">
        <v>1.6165917089348658</v>
      </c>
      <c r="K8">
        <v>35.679887249635883</v>
      </c>
      <c r="Q8">
        <v>5881627</v>
      </c>
    </row>
    <row r="9" spans="1:17" x14ac:dyDescent="0.25">
      <c r="A9">
        <v>12</v>
      </c>
      <c r="B9" t="s">
        <v>68</v>
      </c>
      <c r="C9">
        <v>11</v>
      </c>
      <c r="D9" t="s">
        <v>150</v>
      </c>
      <c r="E9" s="56">
        <v>6612520</v>
      </c>
      <c r="F9" s="60">
        <f t="shared" si="0"/>
        <v>1.8371267856273115E-2</v>
      </c>
      <c r="H9">
        <v>996</v>
      </c>
      <c r="I9">
        <v>123</v>
      </c>
      <c r="J9">
        <v>7.651240668546027</v>
      </c>
      <c r="K9">
        <v>22.626918395845372</v>
      </c>
      <c r="Q9">
        <v>6612520</v>
      </c>
    </row>
    <row r="10" spans="1:17" x14ac:dyDescent="0.25">
      <c r="A10">
        <v>12</v>
      </c>
      <c r="B10" t="s">
        <v>68</v>
      </c>
      <c r="C10">
        <v>13</v>
      </c>
      <c r="D10" t="s">
        <v>75</v>
      </c>
      <c r="E10" s="106">
        <v>5000</v>
      </c>
      <c r="F10" s="60">
        <f t="shared" si="0"/>
        <v>1.3891275834532911E-5</v>
      </c>
      <c r="H10">
        <v>1039</v>
      </c>
      <c r="I10">
        <v>155</v>
      </c>
      <c r="J10">
        <v>0.95215439430795012</v>
      </c>
      <c r="K10">
        <v>41.017187839946857</v>
      </c>
      <c r="Q10">
        <v>7561603</v>
      </c>
    </row>
    <row r="11" spans="1:17" x14ac:dyDescent="0.25">
      <c r="A11">
        <v>12</v>
      </c>
      <c r="B11" t="s">
        <v>68</v>
      </c>
      <c r="C11">
        <v>18</v>
      </c>
      <c r="D11" t="s">
        <v>76</v>
      </c>
      <c r="E11" s="56">
        <v>6275469</v>
      </c>
      <c r="F11" s="60">
        <f t="shared" si="0"/>
        <v>1.7434854174012086E-2</v>
      </c>
      <c r="H11">
        <v>772</v>
      </c>
      <c r="I11">
        <v>88</v>
      </c>
      <c r="J11">
        <v>4.2722450128911591</v>
      </c>
      <c r="K11">
        <v>43.603938560083904</v>
      </c>
      <c r="Q11">
        <v>6275469</v>
      </c>
    </row>
    <row r="12" spans="1:17" x14ac:dyDescent="0.25">
      <c r="A12">
        <v>12</v>
      </c>
      <c r="B12" t="s">
        <v>68</v>
      </c>
      <c r="C12">
        <v>19</v>
      </c>
      <c r="D12" t="s">
        <v>77</v>
      </c>
      <c r="E12" s="56">
        <v>1390092</v>
      </c>
      <c r="F12" s="60">
        <f t="shared" si="0"/>
        <v>3.862030281475505E-3</v>
      </c>
      <c r="H12">
        <v>624</v>
      </c>
      <c r="I12">
        <v>111</v>
      </c>
      <c r="J12">
        <v>4.8976766391556321</v>
      </c>
      <c r="K12">
        <v>35.293403184611392</v>
      </c>
      <c r="Q12">
        <v>1367187</v>
      </c>
    </row>
    <row r="13" spans="1:17" x14ac:dyDescent="0.25">
      <c r="A13">
        <v>12</v>
      </c>
      <c r="B13" t="s">
        <v>68</v>
      </c>
      <c r="C13">
        <v>20</v>
      </c>
      <c r="D13" t="s">
        <v>161</v>
      </c>
      <c r="E13" s="56">
        <v>4013726</v>
      </c>
      <c r="F13" s="60">
        <f t="shared" si="0"/>
        <v>1.1151154998047289E-2</v>
      </c>
      <c r="H13">
        <v>714</v>
      </c>
      <c r="I13">
        <v>113</v>
      </c>
      <c r="J13">
        <v>1.5858444503836493</v>
      </c>
      <c r="K13">
        <v>38.47484081828491</v>
      </c>
      <c r="Q13">
        <v>4013726</v>
      </c>
    </row>
    <row r="14" spans="1:17" x14ac:dyDescent="0.25">
      <c r="A14">
        <v>12</v>
      </c>
      <c r="B14" t="s">
        <v>68</v>
      </c>
      <c r="C14">
        <v>21</v>
      </c>
      <c r="D14" t="s">
        <v>78</v>
      </c>
      <c r="E14" s="56">
        <v>1202441</v>
      </c>
      <c r="F14" s="60">
        <f t="shared" si="0"/>
        <v>3.3406879211503181E-3</v>
      </c>
      <c r="H14">
        <v>603</v>
      </c>
      <c r="I14">
        <v>222</v>
      </c>
      <c r="J14">
        <v>3.3039304519712585</v>
      </c>
      <c r="K14">
        <v>40.042946446353611</v>
      </c>
      <c r="Q14">
        <v>1202441</v>
      </c>
    </row>
    <row r="15" spans="1:17" x14ac:dyDescent="0.25">
      <c r="A15">
        <v>12</v>
      </c>
      <c r="B15" t="s">
        <v>68</v>
      </c>
      <c r="C15">
        <v>22</v>
      </c>
      <c r="D15" t="s">
        <v>79</v>
      </c>
      <c r="E15" s="56">
        <v>2429256</v>
      </c>
      <c r="F15" s="60">
        <f t="shared" si="0"/>
        <v>6.7490930337388167E-3</v>
      </c>
      <c r="H15">
        <v>824</v>
      </c>
      <c r="I15">
        <v>113</v>
      </c>
      <c r="J15">
        <v>1.7272838425037693</v>
      </c>
      <c r="K15">
        <v>40.031603455511153</v>
      </c>
      <c r="Q15">
        <v>2384541</v>
      </c>
    </row>
    <row r="16" spans="1:17" x14ac:dyDescent="0.25">
      <c r="A16">
        <v>12</v>
      </c>
      <c r="B16" t="s">
        <v>68</v>
      </c>
      <c r="C16">
        <v>23</v>
      </c>
      <c r="D16" t="s">
        <v>80</v>
      </c>
      <c r="E16" s="56">
        <v>4680479</v>
      </c>
      <c r="F16" s="60">
        <f t="shared" si="0"/>
        <v>1.3003564965347754E-2</v>
      </c>
      <c r="H16">
        <v>697</v>
      </c>
      <c r="I16">
        <v>75</v>
      </c>
      <c r="J16">
        <v>8.3201715887493677</v>
      </c>
      <c r="K16">
        <v>30.797922077450721</v>
      </c>
      <c r="Q16">
        <v>4680479</v>
      </c>
    </row>
    <row r="17" spans="1:17" x14ac:dyDescent="0.25">
      <c r="A17">
        <v>12</v>
      </c>
      <c r="B17" t="s">
        <v>68</v>
      </c>
      <c r="C17">
        <v>24</v>
      </c>
      <c r="D17" t="s">
        <v>81</v>
      </c>
      <c r="E17" s="56">
        <v>1689772</v>
      </c>
      <c r="F17" s="60">
        <f t="shared" si="0"/>
        <v>4.6946177898940693E-3</v>
      </c>
      <c r="H17">
        <v>896</v>
      </c>
      <c r="I17">
        <v>202</v>
      </c>
      <c r="J17">
        <v>0.14073277689523817</v>
      </c>
      <c r="K17">
        <v>29.84934363442223</v>
      </c>
      <c r="Q17">
        <v>1689772</v>
      </c>
    </row>
    <row r="18" spans="1:17" x14ac:dyDescent="0.25">
      <c r="A18">
        <v>22</v>
      </c>
      <c r="B18" t="s">
        <v>82</v>
      </c>
      <c r="C18">
        <v>1</v>
      </c>
      <c r="D18" t="s">
        <v>83</v>
      </c>
      <c r="E18" s="56">
        <v>7542848</v>
      </c>
      <c r="F18" s="60">
        <f t="shared" si="0"/>
        <v>2.0955956429190983E-2</v>
      </c>
      <c r="H18">
        <v>926</v>
      </c>
      <c r="I18">
        <v>179</v>
      </c>
      <c r="J18">
        <v>6.8284660645474391</v>
      </c>
      <c r="K18">
        <v>35.99464023005762</v>
      </c>
      <c r="Q18">
        <v>7542848</v>
      </c>
    </row>
    <row r="19" spans="1:17" x14ac:dyDescent="0.25">
      <c r="A19">
        <v>22</v>
      </c>
      <c r="B19" t="s">
        <v>82</v>
      </c>
      <c r="C19">
        <v>2</v>
      </c>
      <c r="D19" t="s">
        <v>157</v>
      </c>
      <c r="E19" s="56">
        <v>4061539</v>
      </c>
      <c r="F19" s="60">
        <f t="shared" si="0"/>
        <v>1.1283991712342593E-2</v>
      </c>
      <c r="H19">
        <v>620</v>
      </c>
      <c r="I19">
        <v>128</v>
      </c>
      <c r="J19">
        <v>17.002757041213396</v>
      </c>
      <c r="K19">
        <v>41.730956254194787</v>
      </c>
      <c r="Q19">
        <v>4061539</v>
      </c>
    </row>
    <row r="20" spans="1:17" x14ac:dyDescent="0.25">
      <c r="A20">
        <v>22</v>
      </c>
      <c r="B20" t="s">
        <v>82</v>
      </c>
      <c r="C20">
        <v>3</v>
      </c>
      <c r="D20" t="s">
        <v>84</v>
      </c>
      <c r="E20" s="56">
        <v>7116786</v>
      </c>
      <c r="F20" s="60">
        <f t="shared" si="0"/>
        <v>1.9772247476268431E-2</v>
      </c>
      <c r="H20">
        <v>449</v>
      </c>
      <c r="I20">
        <v>37</v>
      </c>
      <c r="J20">
        <v>38.754950882605733</v>
      </c>
      <c r="K20">
        <v>50.764942170608776</v>
      </c>
      <c r="Q20">
        <v>7116786</v>
      </c>
    </row>
    <row r="21" spans="1:17" x14ac:dyDescent="0.25">
      <c r="A21">
        <v>22</v>
      </c>
      <c r="B21" t="s">
        <v>82</v>
      </c>
      <c r="C21">
        <v>5</v>
      </c>
      <c r="D21" t="s">
        <v>151</v>
      </c>
      <c r="E21" s="56">
        <v>6903854</v>
      </c>
      <c r="F21" s="60">
        <f t="shared" si="0"/>
        <v>1.9180668047068677E-2</v>
      </c>
      <c r="H21">
        <v>1047</v>
      </c>
      <c r="I21">
        <v>295</v>
      </c>
      <c r="J21">
        <v>36.435774822184229</v>
      </c>
      <c r="K21">
        <v>32.121183436057748</v>
      </c>
      <c r="Q21">
        <v>6903854</v>
      </c>
    </row>
    <row r="22" spans="1:17" x14ac:dyDescent="0.25">
      <c r="A22">
        <v>22</v>
      </c>
      <c r="B22" t="s">
        <v>82</v>
      </c>
      <c r="C22">
        <v>6</v>
      </c>
      <c r="D22" t="s">
        <v>85</v>
      </c>
      <c r="E22" s="56">
        <v>8652405</v>
      </c>
      <c r="F22" s="60">
        <f t="shared" si="0"/>
        <v>2.4038588897418348E-2</v>
      </c>
      <c r="H22">
        <v>913</v>
      </c>
      <c r="I22">
        <v>141</v>
      </c>
      <c r="J22">
        <v>27.204411265941431</v>
      </c>
      <c r="K22">
        <v>30.014707184567357</v>
      </c>
      <c r="Q22">
        <v>8652405</v>
      </c>
    </row>
    <row r="23" spans="1:17" x14ac:dyDescent="0.25">
      <c r="A23">
        <v>22</v>
      </c>
      <c r="B23" t="s">
        <v>82</v>
      </c>
      <c r="C23">
        <v>7</v>
      </c>
      <c r="D23" t="s">
        <v>149</v>
      </c>
      <c r="E23" s="56">
        <v>2334551</v>
      </c>
      <c r="F23" s="60">
        <f t="shared" si="0"/>
        <v>6.4859783781569293E-3</v>
      </c>
      <c r="H23">
        <v>681</v>
      </c>
      <c r="I23">
        <v>72</v>
      </c>
      <c r="J23">
        <v>18.13627417729429</v>
      </c>
      <c r="K23">
        <v>36.092632268209215</v>
      </c>
      <c r="Q23">
        <v>2334551</v>
      </c>
    </row>
    <row r="24" spans="1:17" x14ac:dyDescent="0.25">
      <c r="A24">
        <v>22</v>
      </c>
      <c r="B24" t="s">
        <v>82</v>
      </c>
      <c r="C24">
        <v>8</v>
      </c>
      <c r="D24" t="s">
        <v>86</v>
      </c>
      <c r="E24" s="56">
        <v>4852397</v>
      </c>
      <c r="F24" s="60">
        <f t="shared" si="0"/>
        <v>1.3481197037131999E-2</v>
      </c>
      <c r="H24">
        <v>575</v>
      </c>
      <c r="I24">
        <v>86</v>
      </c>
      <c r="J24">
        <v>10.820554581028205</v>
      </c>
      <c r="K24">
        <v>32.882914574404623</v>
      </c>
      <c r="Q24">
        <v>4852397</v>
      </c>
    </row>
    <row r="25" spans="1:17" x14ac:dyDescent="0.25">
      <c r="A25">
        <v>22</v>
      </c>
      <c r="B25" t="s">
        <v>82</v>
      </c>
      <c r="C25">
        <v>9</v>
      </c>
      <c r="D25" t="s">
        <v>87</v>
      </c>
      <c r="E25" s="56">
        <v>5939089</v>
      </c>
      <c r="F25" s="60">
        <f t="shared" si="0"/>
        <v>1.6500304700968048E-2</v>
      </c>
      <c r="H25">
        <v>225</v>
      </c>
      <c r="I25">
        <v>61</v>
      </c>
      <c r="J25">
        <v>5.0394583502195118</v>
      </c>
      <c r="K25">
        <v>53.734734657855476</v>
      </c>
      <c r="Q25">
        <v>593089</v>
      </c>
    </row>
    <row r="26" spans="1:17" x14ac:dyDescent="0.25">
      <c r="A26">
        <v>22</v>
      </c>
      <c r="B26" t="s">
        <v>82</v>
      </c>
      <c r="C26">
        <v>10</v>
      </c>
      <c r="D26" t="s">
        <v>88</v>
      </c>
      <c r="E26" s="56">
        <v>1912394</v>
      </c>
      <c r="F26" s="60">
        <f t="shared" si="0"/>
        <v>5.313118511661147E-3</v>
      </c>
      <c r="H26">
        <v>449</v>
      </c>
      <c r="I26">
        <v>65</v>
      </c>
      <c r="J26">
        <v>7.2137030540188043</v>
      </c>
      <c r="K26">
        <v>39.087356654473815</v>
      </c>
      <c r="Q26">
        <v>1912394</v>
      </c>
    </row>
    <row r="27" spans="1:17" x14ac:dyDescent="0.25">
      <c r="A27">
        <v>22</v>
      </c>
      <c r="B27" t="s">
        <v>82</v>
      </c>
      <c r="C27">
        <v>11</v>
      </c>
      <c r="D27" t="s">
        <v>89</v>
      </c>
      <c r="E27" s="56">
        <v>3500088</v>
      </c>
      <c r="F27" s="60">
        <f t="shared" si="0"/>
        <v>9.7241375706277264E-3</v>
      </c>
      <c r="H27">
        <v>413</v>
      </c>
      <c r="I27">
        <v>107</v>
      </c>
      <c r="J27">
        <v>9.1089437055460571</v>
      </c>
      <c r="K27">
        <v>44.585003761754379</v>
      </c>
      <c r="Q27">
        <v>3500088</v>
      </c>
    </row>
    <row r="28" spans="1:17" x14ac:dyDescent="0.25">
      <c r="A28">
        <v>32</v>
      </c>
      <c r="B28" t="s">
        <v>90</v>
      </c>
      <c r="C28">
        <v>1</v>
      </c>
      <c r="D28" t="s">
        <v>91</v>
      </c>
      <c r="E28" s="56">
        <v>6000000</v>
      </c>
      <c r="F28" s="60">
        <f t="shared" si="0"/>
        <v>1.6669531001439496E-2</v>
      </c>
      <c r="H28">
        <v>484</v>
      </c>
      <c r="I28">
        <v>78</v>
      </c>
      <c r="J28">
        <v>10.201654224728037</v>
      </c>
      <c r="K28">
        <v>27.646138547232681</v>
      </c>
      <c r="Q28">
        <v>7933875</v>
      </c>
    </row>
    <row r="29" spans="1:17" x14ac:dyDescent="0.25">
      <c r="A29">
        <v>32</v>
      </c>
      <c r="B29" t="s">
        <v>90</v>
      </c>
      <c r="C29">
        <v>2</v>
      </c>
      <c r="D29" t="s">
        <v>92</v>
      </c>
      <c r="E29" s="56">
        <v>2270397</v>
      </c>
      <c r="F29" s="60">
        <f t="shared" si="0"/>
        <v>6.3077421961792038E-3</v>
      </c>
      <c r="H29">
        <v>418</v>
      </c>
      <c r="I29">
        <v>13</v>
      </c>
      <c r="J29">
        <v>19.917515391135687</v>
      </c>
      <c r="K29">
        <v>27.18895685409305</v>
      </c>
      <c r="Q29">
        <v>3073372</v>
      </c>
    </row>
    <row r="30" spans="1:17" x14ac:dyDescent="0.25">
      <c r="A30">
        <v>32</v>
      </c>
      <c r="B30" t="s">
        <v>90</v>
      </c>
      <c r="C30">
        <v>3</v>
      </c>
      <c r="D30" t="s">
        <v>93</v>
      </c>
      <c r="E30" s="56">
        <v>8007373</v>
      </c>
      <c r="F30" s="60">
        <f t="shared" si="0"/>
        <v>2.2246525410598263E-2</v>
      </c>
      <c r="H30">
        <v>756</v>
      </c>
      <c r="I30">
        <v>59</v>
      </c>
      <c r="J30">
        <v>8.1046475229783859</v>
      </c>
      <c r="K30">
        <v>50.5066610928369</v>
      </c>
      <c r="Q30">
        <v>9166903</v>
      </c>
    </row>
    <row r="31" spans="1:17" x14ac:dyDescent="0.25">
      <c r="A31">
        <v>32</v>
      </c>
      <c r="B31" t="s">
        <v>90</v>
      </c>
      <c r="C31">
        <v>4</v>
      </c>
      <c r="D31" t="s">
        <v>158</v>
      </c>
      <c r="E31" s="56">
        <v>1926427</v>
      </c>
      <c r="F31" s="60">
        <f t="shared" si="0"/>
        <v>5.3521057664183466E-3</v>
      </c>
      <c r="H31">
        <v>889</v>
      </c>
      <c r="I31">
        <v>228</v>
      </c>
      <c r="J31">
        <v>56.970571259425682</v>
      </c>
      <c r="K31">
        <v>48.017430631879641</v>
      </c>
      <c r="Q31">
        <v>1926427</v>
      </c>
    </row>
    <row r="32" spans="1:17" x14ac:dyDescent="0.25">
      <c r="A32">
        <v>32</v>
      </c>
      <c r="B32" t="s">
        <v>90</v>
      </c>
      <c r="C32">
        <v>5</v>
      </c>
      <c r="D32" t="s">
        <v>152</v>
      </c>
      <c r="E32" s="56">
        <v>2331698</v>
      </c>
      <c r="F32" s="60">
        <f t="shared" si="0"/>
        <v>6.4780520161657447E-3</v>
      </c>
      <c r="H32">
        <v>775</v>
      </c>
      <c r="I32">
        <v>266</v>
      </c>
      <c r="J32">
        <v>54.408822531882862</v>
      </c>
      <c r="K32">
        <v>42.316116182996844</v>
      </c>
      <c r="Q32">
        <v>2331698</v>
      </c>
    </row>
    <row r="33" spans="1:17" x14ac:dyDescent="0.25">
      <c r="A33">
        <v>32</v>
      </c>
      <c r="B33" t="s">
        <v>90</v>
      </c>
      <c r="C33">
        <v>7</v>
      </c>
      <c r="D33" t="s">
        <v>94</v>
      </c>
      <c r="E33" s="56">
        <v>2260098</v>
      </c>
      <c r="F33" s="60">
        <f t="shared" si="0"/>
        <v>6.279128946215233E-3</v>
      </c>
      <c r="H33">
        <v>481</v>
      </c>
      <c r="I33">
        <v>59</v>
      </c>
      <c r="J33">
        <v>124.45443413085121</v>
      </c>
      <c r="K33">
        <v>63.245888054172525</v>
      </c>
      <c r="Q33">
        <v>2260098</v>
      </c>
    </row>
    <row r="34" spans="1:17" x14ac:dyDescent="0.25">
      <c r="A34">
        <v>32</v>
      </c>
      <c r="B34" t="s">
        <v>90</v>
      </c>
      <c r="C34">
        <v>8</v>
      </c>
      <c r="D34" t="s">
        <v>95</v>
      </c>
      <c r="E34" s="56">
        <f>Sheet2!H69</f>
        <v>2773394</v>
      </c>
      <c r="F34" s="60">
        <f t="shared" si="0"/>
        <v>7.7051962103677147E-3</v>
      </c>
      <c r="H34">
        <v>367</v>
      </c>
      <c r="I34">
        <v>86</v>
      </c>
      <c r="J34">
        <v>10.866979500253779</v>
      </c>
      <c r="K34">
        <v>36.277216305229857</v>
      </c>
      <c r="Q34">
        <v>2773394</v>
      </c>
    </row>
    <row r="35" spans="1:17" x14ac:dyDescent="0.25">
      <c r="A35">
        <v>32</v>
      </c>
      <c r="B35" t="s">
        <v>90</v>
      </c>
      <c r="C35">
        <v>9</v>
      </c>
      <c r="D35" t="s">
        <v>139</v>
      </c>
      <c r="E35" s="56">
        <f>Sheet2!H71</f>
        <v>3538697</v>
      </c>
      <c r="F35" s="60">
        <f t="shared" si="0"/>
        <v>9.8314032243668227E-3</v>
      </c>
      <c r="H35">
        <v>359</v>
      </c>
      <c r="I35">
        <v>48</v>
      </c>
      <c r="J35">
        <v>6.8011028164853577</v>
      </c>
      <c r="K35">
        <v>49.08740313074459</v>
      </c>
      <c r="Q35">
        <v>3538697</v>
      </c>
    </row>
    <row r="36" spans="1:17" x14ac:dyDescent="0.25">
      <c r="A36">
        <v>32</v>
      </c>
      <c r="B36" t="s">
        <v>90</v>
      </c>
      <c r="C36">
        <v>13</v>
      </c>
      <c r="D36" t="s">
        <v>96</v>
      </c>
      <c r="E36" s="56">
        <f>Sheet2!H73</f>
        <v>2723891</v>
      </c>
      <c r="F36" s="60">
        <f t="shared" si="0"/>
        <v>7.5676642448403381E-3</v>
      </c>
      <c r="H36">
        <v>258</v>
      </c>
      <c r="I36">
        <v>105</v>
      </c>
      <c r="J36">
        <v>24.838810286294347</v>
      </c>
      <c r="K36">
        <v>37.418693076220407</v>
      </c>
      <c r="Q36">
        <v>2723891</v>
      </c>
    </row>
    <row r="37" spans="1:17" x14ac:dyDescent="0.25">
      <c r="A37">
        <v>32</v>
      </c>
      <c r="B37" t="s">
        <v>90</v>
      </c>
      <c r="C37">
        <v>14</v>
      </c>
      <c r="D37" t="s">
        <v>97</v>
      </c>
      <c r="E37" s="56">
        <v>1464336</v>
      </c>
      <c r="F37" s="60">
        <f t="shared" si="0"/>
        <v>4.0682990580873171E-3</v>
      </c>
      <c r="H37">
        <v>510</v>
      </c>
      <c r="I37">
        <v>43</v>
      </c>
      <c r="J37">
        <v>49.793788477839229</v>
      </c>
      <c r="K37">
        <v>37.520794072606463</v>
      </c>
      <c r="Q37">
        <v>1464336</v>
      </c>
    </row>
    <row r="38" spans="1:17" x14ac:dyDescent="0.25">
      <c r="A38">
        <v>32</v>
      </c>
      <c r="B38" t="s">
        <v>90</v>
      </c>
      <c r="C38">
        <v>15</v>
      </c>
      <c r="D38" t="s">
        <v>98</v>
      </c>
      <c r="E38" s="56">
        <f>Sheet2!H75</f>
        <v>3006469</v>
      </c>
      <c r="F38" s="60">
        <f t="shared" si="0"/>
        <v>8.3527380333944662E-3</v>
      </c>
      <c r="H38">
        <v>450</v>
      </c>
      <c r="I38">
        <v>62</v>
      </c>
      <c r="J38">
        <v>120.99736651610534</v>
      </c>
      <c r="K38">
        <v>38.893645146814315</v>
      </c>
      <c r="Q38">
        <v>3006469</v>
      </c>
    </row>
    <row r="39" spans="1:17" x14ac:dyDescent="0.25">
      <c r="A39">
        <v>32</v>
      </c>
      <c r="B39" t="s">
        <v>90</v>
      </c>
      <c r="C39">
        <v>16</v>
      </c>
      <c r="D39" t="s">
        <v>99</v>
      </c>
      <c r="E39" s="106">
        <f>Sheet2!H72</f>
        <v>1668985</v>
      </c>
      <c r="F39" s="60">
        <f t="shared" si="0"/>
        <v>4.6368661997395824E-3</v>
      </c>
      <c r="H39">
        <v>202</v>
      </c>
      <c r="I39">
        <v>30</v>
      </c>
      <c r="J39">
        <v>6.8011028164853577</v>
      </c>
      <c r="K39">
        <v>48.44743339399357</v>
      </c>
      <c r="Q39">
        <v>1668985</v>
      </c>
    </row>
    <row r="40" spans="1:17" x14ac:dyDescent="0.25">
      <c r="A40">
        <v>32</v>
      </c>
      <c r="B40" t="s">
        <v>90</v>
      </c>
      <c r="C40">
        <v>17</v>
      </c>
      <c r="D40" t="s">
        <v>100</v>
      </c>
      <c r="E40" s="56">
        <v>0</v>
      </c>
      <c r="F40" s="60">
        <f t="shared" si="0"/>
        <v>0</v>
      </c>
      <c r="H40">
        <v>1104</v>
      </c>
      <c r="I40">
        <v>173</v>
      </c>
      <c r="J40">
        <v>19.271475588465943</v>
      </c>
      <c r="K40">
        <v>58.609952714396094</v>
      </c>
      <c r="Q40">
        <v>3540347</v>
      </c>
    </row>
    <row r="41" spans="1:17" x14ac:dyDescent="0.25">
      <c r="A41">
        <v>42</v>
      </c>
      <c r="B41" t="s">
        <v>101</v>
      </c>
      <c r="C41">
        <v>1</v>
      </c>
      <c r="D41" t="s">
        <v>102</v>
      </c>
      <c r="E41" s="56">
        <v>3462369</v>
      </c>
      <c r="F41" s="60">
        <f t="shared" si="0"/>
        <v>9.6193445639871766E-3</v>
      </c>
      <c r="H41">
        <v>563</v>
      </c>
      <c r="I41">
        <v>55</v>
      </c>
      <c r="J41">
        <v>66.039156016630301</v>
      </c>
      <c r="K41">
        <v>33.717013747467007</v>
      </c>
      <c r="Q41">
        <v>3462369</v>
      </c>
    </row>
    <row r="42" spans="1:17" x14ac:dyDescent="0.25">
      <c r="A42">
        <v>42</v>
      </c>
      <c r="B42" t="s">
        <v>101</v>
      </c>
      <c r="C42">
        <v>2</v>
      </c>
      <c r="D42" t="s">
        <v>103</v>
      </c>
      <c r="E42" s="56">
        <v>4747750</v>
      </c>
      <c r="F42" s="60">
        <f t="shared" si="0"/>
        <v>1.3190460968680727E-2</v>
      </c>
      <c r="H42">
        <v>562</v>
      </c>
      <c r="I42">
        <v>30</v>
      </c>
      <c r="J42">
        <v>8.7655765290565455</v>
      </c>
      <c r="K42">
        <v>52.522713976759348</v>
      </c>
      <c r="Q42">
        <v>8524199</v>
      </c>
    </row>
    <row r="43" spans="1:17" x14ac:dyDescent="0.25">
      <c r="A43">
        <v>42</v>
      </c>
      <c r="B43" t="s">
        <v>101</v>
      </c>
      <c r="C43">
        <v>3</v>
      </c>
      <c r="D43" t="s">
        <v>104</v>
      </c>
      <c r="E43" s="56">
        <v>14826325</v>
      </c>
      <c r="F43" s="60">
        <f t="shared" si="0"/>
        <v>4.1191314037486236E-2</v>
      </c>
      <c r="H43">
        <v>464</v>
      </c>
      <c r="I43">
        <v>32</v>
      </c>
      <c r="J43">
        <v>13.298423040501037</v>
      </c>
      <c r="K43">
        <v>29.274697358420024</v>
      </c>
      <c r="Q43">
        <v>14826325</v>
      </c>
    </row>
    <row r="44" spans="1:17" x14ac:dyDescent="0.25">
      <c r="A44">
        <v>42</v>
      </c>
      <c r="B44" t="s">
        <v>101</v>
      </c>
      <c r="C44">
        <v>4</v>
      </c>
      <c r="D44" t="s">
        <v>105</v>
      </c>
      <c r="E44" s="56">
        <v>3594437</v>
      </c>
      <c r="F44" s="60">
        <f t="shared" si="0"/>
        <v>9.9862631673701963E-3</v>
      </c>
      <c r="H44">
        <v>711</v>
      </c>
      <c r="I44">
        <v>148</v>
      </c>
      <c r="J44">
        <v>1.8078880904581334</v>
      </c>
      <c r="K44">
        <v>35.096536783934503</v>
      </c>
      <c r="Q44">
        <v>3594437</v>
      </c>
    </row>
    <row r="45" spans="1:17" x14ac:dyDescent="0.25">
      <c r="A45">
        <v>42</v>
      </c>
      <c r="B45" t="s">
        <v>101</v>
      </c>
      <c r="C45">
        <v>5</v>
      </c>
      <c r="D45" t="s">
        <v>106</v>
      </c>
      <c r="E45" s="56">
        <v>4268553</v>
      </c>
      <c r="F45" s="60">
        <f t="shared" si="0"/>
        <v>1.1859129427464593E-2</v>
      </c>
      <c r="H45">
        <v>585</v>
      </c>
      <c r="I45">
        <v>53</v>
      </c>
      <c r="J45">
        <v>35.724846425822214</v>
      </c>
      <c r="K45">
        <v>37.89384941764353</v>
      </c>
      <c r="Q45">
        <v>10568723</v>
      </c>
    </row>
    <row r="46" spans="1:17" x14ac:dyDescent="0.25">
      <c r="A46">
        <v>42</v>
      </c>
      <c r="B46" t="s">
        <v>101</v>
      </c>
      <c r="C46">
        <v>6</v>
      </c>
      <c r="D46" t="s">
        <v>107</v>
      </c>
      <c r="E46" s="56">
        <v>2359007</v>
      </c>
      <c r="F46" s="60">
        <f t="shared" si="0"/>
        <v>6.5539233865187967E-3</v>
      </c>
      <c r="H46">
        <v>307</v>
      </c>
      <c r="I46">
        <v>74</v>
      </c>
      <c r="J46">
        <v>5.6675856804044651</v>
      </c>
      <c r="K46">
        <v>36.938043594444864</v>
      </c>
      <c r="Q46">
        <v>5465015</v>
      </c>
    </row>
    <row r="47" spans="1:17" x14ac:dyDescent="0.25">
      <c r="A47">
        <v>42</v>
      </c>
      <c r="B47" t="s">
        <v>101</v>
      </c>
      <c r="C47">
        <v>7</v>
      </c>
      <c r="D47" t="s">
        <v>153</v>
      </c>
      <c r="E47" s="56">
        <v>0</v>
      </c>
      <c r="F47" s="60">
        <f t="shared" si="0"/>
        <v>0</v>
      </c>
      <c r="H47">
        <v>586</v>
      </c>
      <c r="I47">
        <v>156</v>
      </c>
      <c r="J47">
        <v>10.405687309222598</v>
      </c>
      <c r="K47">
        <v>26.768903071856581</v>
      </c>
      <c r="Q47">
        <v>16845751</v>
      </c>
    </row>
    <row r="48" spans="1:17" x14ac:dyDescent="0.25">
      <c r="A48">
        <v>42</v>
      </c>
      <c r="B48" t="s">
        <v>101</v>
      </c>
      <c r="C48">
        <v>8</v>
      </c>
      <c r="D48" t="s">
        <v>154</v>
      </c>
      <c r="E48" s="56">
        <v>5286500</v>
      </c>
      <c r="F48" s="60">
        <f t="shared" si="0"/>
        <v>1.4687245939851648E-2</v>
      </c>
      <c r="H48">
        <v>245</v>
      </c>
      <c r="I48">
        <v>5</v>
      </c>
      <c r="J48">
        <v>50.498188412403778</v>
      </c>
      <c r="K48">
        <v>44.206093668204787</v>
      </c>
      <c r="Q48">
        <v>8625625</v>
      </c>
    </row>
    <row r="49" spans="1:17" x14ac:dyDescent="0.25">
      <c r="A49">
        <v>42</v>
      </c>
      <c r="B49" t="s">
        <v>101</v>
      </c>
      <c r="C49">
        <v>9</v>
      </c>
      <c r="D49" t="s">
        <v>108</v>
      </c>
      <c r="E49" s="56">
        <v>0</v>
      </c>
      <c r="F49" s="60">
        <f t="shared" si="0"/>
        <v>0</v>
      </c>
      <c r="H49">
        <v>357</v>
      </c>
      <c r="I49">
        <v>81</v>
      </c>
      <c r="J49">
        <v>19.923742185150854</v>
      </c>
      <c r="K49">
        <v>33.360116876787359</v>
      </c>
      <c r="Q49">
        <v>7826841</v>
      </c>
    </row>
    <row r="50" spans="1:17" x14ac:dyDescent="0.25">
      <c r="A50">
        <v>42</v>
      </c>
      <c r="B50" t="s">
        <v>101</v>
      </c>
      <c r="C50">
        <v>10</v>
      </c>
      <c r="D50" t="s">
        <v>109</v>
      </c>
      <c r="E50" s="56">
        <v>1541100</v>
      </c>
      <c r="F50" s="60">
        <f t="shared" si="0"/>
        <v>4.2815690377197343E-3</v>
      </c>
      <c r="H50">
        <v>768</v>
      </c>
      <c r="I50">
        <v>139</v>
      </c>
      <c r="J50">
        <v>65.789031384430189</v>
      </c>
      <c r="K50">
        <v>46.320842462308882</v>
      </c>
      <c r="Q50">
        <v>1541100</v>
      </c>
    </row>
    <row r="51" spans="1:17" x14ac:dyDescent="0.25">
      <c r="A51">
        <v>42</v>
      </c>
      <c r="B51" t="s">
        <v>101</v>
      </c>
      <c r="C51">
        <v>11</v>
      </c>
      <c r="D51" t="s">
        <v>110</v>
      </c>
      <c r="E51" s="56">
        <v>7156794</v>
      </c>
      <c r="F51" s="60">
        <f t="shared" si="0"/>
        <v>1.9883399908986028E-2</v>
      </c>
      <c r="H51">
        <v>601</v>
      </c>
      <c r="I51">
        <v>158</v>
      </c>
      <c r="J51">
        <v>36.157761809162665</v>
      </c>
      <c r="K51">
        <v>55.614602865342746</v>
      </c>
      <c r="Q51">
        <v>9341336</v>
      </c>
    </row>
    <row r="52" spans="1:17" x14ac:dyDescent="0.25">
      <c r="A52">
        <v>42</v>
      </c>
      <c r="B52" t="s">
        <v>101</v>
      </c>
      <c r="C52">
        <v>12</v>
      </c>
      <c r="D52" t="s">
        <v>111</v>
      </c>
      <c r="E52" s="56">
        <v>2018102</v>
      </c>
      <c r="F52" s="60">
        <f t="shared" si="0"/>
        <v>5.6068023088445074E-3</v>
      </c>
      <c r="H52">
        <v>271</v>
      </c>
      <c r="I52">
        <v>65</v>
      </c>
      <c r="J52">
        <v>7.5037389660028735</v>
      </c>
      <c r="K52">
        <v>34.844084847223378</v>
      </c>
      <c r="Q52">
        <v>8379286</v>
      </c>
    </row>
    <row r="53" spans="1:17" x14ac:dyDescent="0.25">
      <c r="A53">
        <v>42</v>
      </c>
      <c r="B53" t="s">
        <v>101</v>
      </c>
      <c r="C53">
        <v>13</v>
      </c>
      <c r="D53" t="s">
        <v>112</v>
      </c>
      <c r="E53" s="56">
        <v>9716212</v>
      </c>
      <c r="F53" s="60">
        <f t="shared" si="0"/>
        <v>2.6994116191759739E-2</v>
      </c>
      <c r="H53">
        <v>377</v>
      </c>
      <c r="I53">
        <v>27</v>
      </c>
      <c r="J53">
        <v>5.0817704730899305</v>
      </c>
      <c r="K53">
        <v>33.822074265947798</v>
      </c>
      <c r="Q53">
        <v>10090001</v>
      </c>
    </row>
    <row r="54" spans="1:17" x14ac:dyDescent="0.25">
      <c r="A54">
        <v>42</v>
      </c>
      <c r="B54" t="s">
        <v>101</v>
      </c>
      <c r="C54">
        <v>14</v>
      </c>
      <c r="D54" t="s">
        <v>113</v>
      </c>
      <c r="E54" s="56">
        <v>100415</v>
      </c>
      <c r="F54" s="60">
        <f t="shared" si="0"/>
        <v>2.7897849258492449E-4</v>
      </c>
      <c r="H54">
        <v>575</v>
      </c>
      <c r="I54">
        <v>138</v>
      </c>
      <c r="J54">
        <v>9.6420698157767095</v>
      </c>
      <c r="K54">
        <v>25.899819893481983</v>
      </c>
      <c r="Q54">
        <v>5061765</v>
      </c>
    </row>
    <row r="55" spans="1:17" x14ac:dyDescent="0.25">
      <c r="A55">
        <v>52</v>
      </c>
      <c r="B55" t="s">
        <v>114</v>
      </c>
      <c r="C55">
        <v>1</v>
      </c>
      <c r="D55" t="s">
        <v>115</v>
      </c>
      <c r="E55" s="56">
        <v>2948877</v>
      </c>
      <c r="F55" s="60">
        <f t="shared" si="0"/>
        <v>8.1927327618219817E-3</v>
      </c>
      <c r="H55">
        <v>752</v>
      </c>
      <c r="I55">
        <v>335</v>
      </c>
      <c r="J55">
        <v>3.4142910098921444</v>
      </c>
      <c r="K55">
        <v>58.272088254111139</v>
      </c>
      <c r="Q55">
        <v>2946887</v>
      </c>
    </row>
    <row r="56" spans="1:17" x14ac:dyDescent="0.25">
      <c r="A56">
        <v>52</v>
      </c>
      <c r="B56" t="s">
        <v>114</v>
      </c>
      <c r="C56">
        <v>2</v>
      </c>
      <c r="D56" t="s">
        <v>155</v>
      </c>
      <c r="E56" s="56">
        <v>2720603</v>
      </c>
      <c r="F56" s="60">
        <f t="shared" si="0"/>
        <v>7.5585293418515493E-3</v>
      </c>
      <c r="H56">
        <v>622</v>
      </c>
      <c r="I56">
        <v>121</v>
      </c>
      <c r="J56">
        <v>36.850642093989833</v>
      </c>
      <c r="K56">
        <v>40.030925080212974</v>
      </c>
      <c r="Q56">
        <v>2720603</v>
      </c>
    </row>
    <row r="57" spans="1:17" x14ac:dyDescent="0.25">
      <c r="A57">
        <v>52</v>
      </c>
      <c r="B57" t="s">
        <v>114</v>
      </c>
      <c r="C57">
        <v>3</v>
      </c>
      <c r="D57" t="s">
        <v>116</v>
      </c>
      <c r="E57" s="56">
        <v>2382263</v>
      </c>
      <c r="F57" s="60">
        <f t="shared" si="0"/>
        <v>6.6185344886803754E-3</v>
      </c>
      <c r="H57">
        <v>386</v>
      </c>
      <c r="I57">
        <v>83</v>
      </c>
      <c r="J57">
        <v>51.008271123640185</v>
      </c>
      <c r="K57">
        <v>37.834234623228497</v>
      </c>
      <c r="Q57">
        <v>2382263</v>
      </c>
    </row>
    <row r="58" spans="1:17" x14ac:dyDescent="0.25">
      <c r="A58">
        <v>52</v>
      </c>
      <c r="B58" t="s">
        <v>114</v>
      </c>
      <c r="C58">
        <v>4</v>
      </c>
      <c r="D58" t="s">
        <v>117</v>
      </c>
      <c r="E58" s="56">
        <v>5401112</v>
      </c>
      <c r="F58" s="60">
        <f t="shared" si="0"/>
        <v>1.5005667321041145E-2</v>
      </c>
      <c r="H58">
        <v>837</v>
      </c>
      <c r="I58">
        <v>88</v>
      </c>
      <c r="J58">
        <v>4.5025819572102144</v>
      </c>
      <c r="K58">
        <v>35.651860220961836</v>
      </c>
      <c r="Q58">
        <v>5401112</v>
      </c>
    </row>
    <row r="59" spans="1:17" x14ac:dyDescent="0.25">
      <c r="A59">
        <v>52</v>
      </c>
      <c r="B59" t="s">
        <v>114</v>
      </c>
      <c r="C59">
        <v>5</v>
      </c>
      <c r="D59" t="s">
        <v>118</v>
      </c>
      <c r="E59" s="56">
        <v>4655816</v>
      </c>
      <c r="F59" s="60">
        <f t="shared" si="0"/>
        <v>1.2935044858166336E-2</v>
      </c>
      <c r="H59">
        <v>778</v>
      </c>
      <c r="I59">
        <v>176</v>
      </c>
      <c r="J59">
        <v>78.552737530405892</v>
      </c>
      <c r="K59">
        <v>31.720210486952524</v>
      </c>
      <c r="Q59">
        <v>4655816</v>
      </c>
    </row>
    <row r="60" spans="1:17" x14ac:dyDescent="0.25">
      <c r="A60">
        <v>52</v>
      </c>
      <c r="B60" t="s">
        <v>114</v>
      </c>
      <c r="C60">
        <v>6</v>
      </c>
      <c r="D60" t="s">
        <v>160</v>
      </c>
      <c r="E60" s="56">
        <f>Sheet2!H47</f>
        <v>10289155</v>
      </c>
      <c r="F60" s="60">
        <f t="shared" si="0"/>
        <v>2.8585898041852697E-2</v>
      </c>
      <c r="H60">
        <v>153</v>
      </c>
      <c r="I60">
        <v>14</v>
      </c>
      <c r="J60">
        <v>65.59663666500127</v>
      </c>
      <c r="K60">
        <v>46.761022042267939</v>
      </c>
      <c r="Q60">
        <v>10289155</v>
      </c>
    </row>
    <row r="61" spans="1:17" x14ac:dyDescent="0.25">
      <c r="A61">
        <v>52</v>
      </c>
      <c r="B61" t="s">
        <v>114</v>
      </c>
      <c r="C61">
        <v>7</v>
      </c>
      <c r="D61" t="s">
        <v>119</v>
      </c>
      <c r="E61" s="56">
        <v>3804828</v>
      </c>
      <c r="F61" s="60">
        <f t="shared" si="0"/>
        <v>1.0570783050190838E-2</v>
      </c>
      <c r="H61">
        <v>1160</v>
      </c>
      <c r="I61">
        <v>45</v>
      </c>
      <c r="J61">
        <v>3.0255982201579683</v>
      </c>
      <c r="K61">
        <v>29.098912743097198</v>
      </c>
      <c r="Q61">
        <v>3804828</v>
      </c>
    </row>
    <row r="62" spans="1:17" x14ac:dyDescent="0.25">
      <c r="A62">
        <v>52</v>
      </c>
      <c r="B62" t="s">
        <v>114</v>
      </c>
      <c r="C62">
        <v>8</v>
      </c>
      <c r="D62" t="s">
        <v>120</v>
      </c>
      <c r="E62" s="56">
        <v>8531299</v>
      </c>
      <c r="F62" s="60">
        <f t="shared" si="0"/>
        <v>2.3702125527174961E-2</v>
      </c>
      <c r="H62">
        <v>1743</v>
      </c>
      <c r="I62">
        <v>111</v>
      </c>
      <c r="J62">
        <v>4.1863752908368967</v>
      </c>
      <c r="K62">
        <v>39.302980952290454</v>
      </c>
      <c r="Q62">
        <v>8531299</v>
      </c>
    </row>
    <row r="63" spans="1:17" x14ac:dyDescent="0.25">
      <c r="A63">
        <v>52</v>
      </c>
      <c r="B63" t="s">
        <v>114</v>
      </c>
      <c r="C63">
        <v>9</v>
      </c>
      <c r="D63" t="s">
        <v>121</v>
      </c>
      <c r="E63" s="56">
        <v>4912670</v>
      </c>
      <c r="F63" s="60">
        <f t="shared" si="0"/>
        <v>1.364865081080696E-2</v>
      </c>
      <c r="H63">
        <v>970</v>
      </c>
      <c r="I63">
        <v>55</v>
      </c>
      <c r="J63">
        <v>2.7392204927342201</v>
      </c>
      <c r="K63">
        <v>30.218365437983252</v>
      </c>
      <c r="Q63">
        <v>4912670</v>
      </c>
    </row>
    <row r="64" spans="1:17" x14ac:dyDescent="0.25">
      <c r="A64">
        <v>52</v>
      </c>
      <c r="B64" t="s">
        <v>114</v>
      </c>
      <c r="C64">
        <v>10</v>
      </c>
      <c r="D64" t="s">
        <v>122</v>
      </c>
      <c r="E64" s="56">
        <v>2728835</v>
      </c>
      <c r="F64" s="60">
        <f t="shared" si="0"/>
        <v>7.5813999383855237E-3</v>
      </c>
      <c r="H64">
        <v>404</v>
      </c>
      <c r="I64">
        <v>100</v>
      </c>
      <c r="J64">
        <v>2.2192891564298938</v>
      </c>
      <c r="K64">
        <v>38.384181164139726</v>
      </c>
      <c r="Q64">
        <v>2728835</v>
      </c>
    </row>
    <row r="65" spans="1:17" x14ac:dyDescent="0.25">
      <c r="A65">
        <v>52</v>
      </c>
      <c r="B65" t="s">
        <v>114</v>
      </c>
      <c r="C65">
        <v>11</v>
      </c>
      <c r="D65" t="s">
        <v>123</v>
      </c>
      <c r="E65" s="56">
        <v>1840389</v>
      </c>
      <c r="F65" s="60">
        <f t="shared" si="0"/>
        <v>5.1130702483680388E-3</v>
      </c>
      <c r="H65">
        <v>296</v>
      </c>
      <c r="I65">
        <v>9</v>
      </c>
      <c r="J65">
        <v>6.4536034808818217</v>
      </c>
      <c r="K65">
        <v>37.026081667453148</v>
      </c>
      <c r="Q65">
        <v>1840389</v>
      </c>
    </row>
    <row r="66" spans="1:17" x14ac:dyDescent="0.25">
      <c r="A66">
        <v>52</v>
      </c>
      <c r="B66" t="s">
        <v>114</v>
      </c>
      <c r="C66">
        <v>12</v>
      </c>
      <c r="D66" t="s">
        <v>124</v>
      </c>
      <c r="E66" s="56">
        <v>4742756</v>
      </c>
      <c r="F66" s="60">
        <f t="shared" si="0"/>
        <v>1.3176586362377195E-2</v>
      </c>
      <c r="H66">
        <v>447</v>
      </c>
      <c r="I66">
        <v>5</v>
      </c>
      <c r="J66">
        <v>4.0248783662651864</v>
      </c>
      <c r="K66">
        <v>41.885358080605627</v>
      </c>
      <c r="Q66">
        <v>4742756</v>
      </c>
    </row>
    <row r="67" spans="1:17" x14ac:dyDescent="0.25">
      <c r="A67">
        <v>52</v>
      </c>
      <c r="B67" t="s">
        <v>114</v>
      </c>
      <c r="C67">
        <v>13</v>
      </c>
      <c r="D67" t="s">
        <v>125</v>
      </c>
      <c r="E67" s="56">
        <v>4087005</v>
      </c>
      <c r="F67" s="60">
        <f t="shared" ref="F67:F79" si="1">E67/E$81</f>
        <v>1.1354742758423037E-2</v>
      </c>
      <c r="H67">
        <v>500</v>
      </c>
      <c r="I67">
        <v>43</v>
      </c>
      <c r="J67">
        <v>4.5417066569859799</v>
      </c>
      <c r="K67">
        <v>28.333278737048651</v>
      </c>
      <c r="Q67">
        <v>4007005</v>
      </c>
    </row>
    <row r="68" spans="1:17" x14ac:dyDescent="0.25">
      <c r="A68">
        <v>52</v>
      </c>
      <c r="B68" t="s">
        <v>114</v>
      </c>
      <c r="C68">
        <v>14</v>
      </c>
      <c r="D68" t="s">
        <v>126</v>
      </c>
      <c r="E68" s="56">
        <v>2321437</v>
      </c>
      <c r="F68" s="60">
        <f t="shared" si="1"/>
        <v>6.4495443398981164E-3</v>
      </c>
      <c r="H68">
        <v>426</v>
      </c>
      <c r="I68">
        <v>41</v>
      </c>
      <c r="J68">
        <v>3.6020655657681711</v>
      </c>
      <c r="K68">
        <v>32.980677972021148</v>
      </c>
      <c r="Q68">
        <v>2321437</v>
      </c>
    </row>
    <row r="69" spans="1:17" x14ac:dyDescent="0.25">
      <c r="A69">
        <v>62</v>
      </c>
      <c r="B69" t="s">
        <v>127</v>
      </c>
      <c r="C69">
        <v>1</v>
      </c>
      <c r="D69" t="s">
        <v>128</v>
      </c>
      <c r="E69" s="56">
        <v>4407833</v>
      </c>
      <c r="F69" s="60">
        <f t="shared" si="1"/>
        <v>1.2246084807111342E-2</v>
      </c>
      <c r="H69">
        <v>708</v>
      </c>
      <c r="I69">
        <v>129</v>
      </c>
      <c r="J69">
        <v>4.0690358731108986</v>
      </c>
      <c r="K69">
        <v>38.181286665998641</v>
      </c>
      <c r="Q69">
        <v>4407833</v>
      </c>
    </row>
    <row r="70" spans="1:17" x14ac:dyDescent="0.25">
      <c r="A70">
        <v>62</v>
      </c>
      <c r="B70" t="s">
        <v>127</v>
      </c>
      <c r="C70">
        <v>2</v>
      </c>
      <c r="D70" t="s">
        <v>129</v>
      </c>
      <c r="E70" s="56">
        <v>6245412</v>
      </c>
      <c r="F70" s="60">
        <f t="shared" si="1"/>
        <v>1.7351348158460372E-2</v>
      </c>
      <c r="H70">
        <v>900</v>
      </c>
      <c r="I70">
        <v>86</v>
      </c>
      <c r="J70">
        <v>0.20363881766461955</v>
      </c>
      <c r="K70">
        <v>40.553282496302351</v>
      </c>
      <c r="Q70">
        <v>6245412</v>
      </c>
    </row>
    <row r="71" spans="1:17" x14ac:dyDescent="0.25">
      <c r="A71">
        <v>62</v>
      </c>
      <c r="B71" t="s">
        <v>127</v>
      </c>
      <c r="C71">
        <v>3</v>
      </c>
      <c r="D71" t="s">
        <v>130</v>
      </c>
      <c r="E71" s="56">
        <v>11167123</v>
      </c>
      <c r="F71" s="60">
        <f t="shared" si="1"/>
        <v>3.1025117174231336E-2</v>
      </c>
      <c r="H71">
        <v>500</v>
      </c>
      <c r="I71">
        <v>94</v>
      </c>
      <c r="J71">
        <v>6.8011028164853577</v>
      </c>
      <c r="K71">
        <v>33.38911125745512</v>
      </c>
      <c r="Q71">
        <v>11167123</v>
      </c>
    </row>
    <row r="72" spans="1:17" x14ac:dyDescent="0.25">
      <c r="A72">
        <v>62</v>
      </c>
      <c r="B72" t="s">
        <v>127</v>
      </c>
      <c r="C72">
        <v>4</v>
      </c>
      <c r="D72" t="s">
        <v>131</v>
      </c>
      <c r="E72" s="56">
        <v>13051783</v>
      </c>
      <c r="F72" s="60">
        <f t="shared" si="1"/>
        <v>3.6261183557093492E-2</v>
      </c>
      <c r="H72">
        <v>1178</v>
      </c>
      <c r="I72">
        <v>97</v>
      </c>
      <c r="J72">
        <v>2.7884521547589971</v>
      </c>
      <c r="K72">
        <v>30.107292190936704</v>
      </c>
      <c r="Q72">
        <v>13051783</v>
      </c>
    </row>
    <row r="73" spans="1:17" x14ac:dyDescent="0.25">
      <c r="A73">
        <v>62</v>
      </c>
      <c r="B73" t="s">
        <v>127</v>
      </c>
      <c r="C73">
        <v>5</v>
      </c>
      <c r="D73" t="s">
        <v>132</v>
      </c>
      <c r="E73" s="56">
        <v>4970465</v>
      </c>
      <c r="F73" s="60">
        <f t="shared" si="1"/>
        <v>1.3809220068178326E-2</v>
      </c>
      <c r="H73">
        <v>633</v>
      </c>
      <c r="I73">
        <v>170</v>
      </c>
      <c r="J73">
        <v>18.13627417729429</v>
      </c>
      <c r="K73">
        <v>26.487148404537088</v>
      </c>
      <c r="Q73">
        <v>4970465</v>
      </c>
    </row>
    <row r="74" spans="1:17" x14ac:dyDescent="0.25">
      <c r="A74">
        <v>62</v>
      </c>
      <c r="B74" t="s">
        <v>127</v>
      </c>
      <c r="C74">
        <v>6</v>
      </c>
      <c r="D74" t="s">
        <v>133</v>
      </c>
      <c r="E74" s="56">
        <v>3457660</v>
      </c>
      <c r="F74" s="60">
        <f t="shared" si="1"/>
        <v>9.6062617604062133E-3</v>
      </c>
      <c r="H74">
        <v>328</v>
      </c>
      <c r="I74">
        <v>57</v>
      </c>
      <c r="J74">
        <v>4.5340685443235724</v>
      </c>
      <c r="K74">
        <v>34.911129580855643</v>
      </c>
      <c r="Q74">
        <v>3457660</v>
      </c>
    </row>
    <row r="75" spans="1:17" x14ac:dyDescent="0.25">
      <c r="A75">
        <v>62</v>
      </c>
      <c r="B75" t="s">
        <v>127</v>
      </c>
      <c r="C75">
        <v>9</v>
      </c>
      <c r="D75" t="s">
        <v>134</v>
      </c>
      <c r="E75" s="106">
        <v>2377883</v>
      </c>
      <c r="F75" s="60">
        <f t="shared" si="1"/>
        <v>6.6063657310493247E-3</v>
      </c>
      <c r="H75">
        <v>299</v>
      </c>
      <c r="I75">
        <v>62</v>
      </c>
      <c r="J75">
        <v>3.519355482758499</v>
      </c>
      <c r="K75">
        <v>27.860443002437421</v>
      </c>
      <c r="Q75">
        <v>2377883</v>
      </c>
    </row>
    <row r="76" spans="1:17" x14ac:dyDescent="0.25">
      <c r="A76">
        <v>62</v>
      </c>
      <c r="B76" t="s">
        <v>127</v>
      </c>
      <c r="C76">
        <v>10</v>
      </c>
      <c r="D76" t="s">
        <v>135</v>
      </c>
      <c r="E76" s="56">
        <f>Sheet2!H103</f>
        <v>2942428</v>
      </c>
      <c r="F76" s="60">
        <f t="shared" si="1"/>
        <v>8.1748157942506013E-3</v>
      </c>
      <c r="H76">
        <v>310</v>
      </c>
      <c r="I76">
        <v>48</v>
      </c>
      <c r="J76">
        <v>16.291105413169564</v>
      </c>
      <c r="K76">
        <v>42.383942455099188</v>
      </c>
      <c r="Q76">
        <v>2942428</v>
      </c>
    </row>
    <row r="77" spans="1:17" x14ac:dyDescent="0.25">
      <c r="A77">
        <v>62</v>
      </c>
      <c r="B77" t="s">
        <v>127</v>
      </c>
      <c r="C77">
        <v>11</v>
      </c>
      <c r="D77" t="s">
        <v>136</v>
      </c>
      <c r="E77" s="56">
        <v>4231983</v>
      </c>
      <c r="F77" s="60">
        <f t="shared" si="1"/>
        <v>1.175752863601082E-2</v>
      </c>
      <c r="H77">
        <v>451</v>
      </c>
      <c r="I77">
        <v>26</v>
      </c>
      <c r="J77">
        <v>10.408354408366318</v>
      </c>
      <c r="K77">
        <v>36.103707394203539</v>
      </c>
      <c r="Q77">
        <v>4231983</v>
      </c>
    </row>
    <row r="78" spans="1:17" x14ac:dyDescent="0.25">
      <c r="A78">
        <v>62</v>
      </c>
      <c r="B78" t="s">
        <v>127</v>
      </c>
      <c r="C78">
        <v>12</v>
      </c>
      <c r="D78" t="s">
        <v>137</v>
      </c>
      <c r="E78" s="56">
        <v>2780247</v>
      </c>
      <c r="F78" s="60">
        <f t="shared" si="1"/>
        <v>7.7242355930265249E-3</v>
      </c>
      <c r="H78">
        <v>352</v>
      </c>
      <c r="I78">
        <v>105</v>
      </c>
      <c r="J78">
        <v>7.2661354876980333</v>
      </c>
      <c r="K78">
        <v>56.977288363551359</v>
      </c>
      <c r="Q78">
        <v>3015429</v>
      </c>
    </row>
    <row r="79" spans="1:17" x14ac:dyDescent="0.25">
      <c r="A79">
        <v>62</v>
      </c>
      <c r="B79" t="s">
        <v>127</v>
      </c>
      <c r="C79">
        <v>13</v>
      </c>
      <c r="D79" t="s">
        <v>138</v>
      </c>
      <c r="E79" s="56">
        <v>8181886</v>
      </c>
      <c r="F79" s="60">
        <f t="shared" si="1"/>
        <v>2.2731367054540631E-2</v>
      </c>
      <c r="H79">
        <v>506</v>
      </c>
      <c r="I79">
        <v>158</v>
      </c>
      <c r="J79">
        <v>15.16645928076235</v>
      </c>
      <c r="K79">
        <v>40.431738870477488</v>
      </c>
      <c r="Q79">
        <v>8181886</v>
      </c>
    </row>
    <row r="81" spans="5:17" x14ac:dyDescent="0.25">
      <c r="E81" s="56">
        <f>SUM(E2:E79)</f>
        <v>359938141</v>
      </c>
      <c r="F81" s="60">
        <f>SUM(F2:F79)</f>
        <v>0.99999999999999978</v>
      </c>
      <c r="Q81">
        <v>431792329</v>
      </c>
    </row>
  </sheetData>
  <pageMargins left="0.7" right="0.7" top="0.75" bottom="0.75" header="0.3" footer="0.3"/>
  <pageSetup orientation="portrait" horizontalDpi="200" verticalDpi="200" copies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workbookViewId="0">
      <selection activeCell="I17" sqref="I17"/>
    </sheetView>
  </sheetViews>
  <sheetFormatPr defaultColWidth="9.140625" defaultRowHeight="18" customHeight="1" x14ac:dyDescent="0.3"/>
  <cols>
    <col min="1" max="1" width="6.28515625" style="141" customWidth="1"/>
    <col min="2" max="2" width="26.42578125" style="141" customWidth="1"/>
    <col min="3" max="3" width="8.42578125" style="212" customWidth="1"/>
    <col min="4" max="4" width="18.140625" style="212" customWidth="1"/>
    <col min="5" max="5" width="15.7109375" style="213" customWidth="1"/>
    <col min="6" max="6" width="12.5703125" style="213" customWidth="1"/>
    <col min="7" max="7" width="15" style="212" customWidth="1"/>
    <col min="8" max="8" width="14.7109375" style="141" customWidth="1"/>
    <col min="9" max="9" width="10.5703125" style="141" bestFit="1" customWidth="1"/>
    <col min="10" max="10" width="10" style="141" bestFit="1" customWidth="1"/>
    <col min="11" max="11" width="10.5703125" style="141" bestFit="1" customWidth="1"/>
    <col min="12" max="16384" width="9.140625" style="141"/>
  </cols>
  <sheetData>
    <row r="1" spans="1:9" ht="16.5" x14ac:dyDescent="0.3">
      <c r="A1" s="297" t="s">
        <v>200</v>
      </c>
      <c r="B1" s="297"/>
      <c r="C1" s="297"/>
      <c r="D1" s="297"/>
      <c r="E1" s="297"/>
      <c r="F1" s="297"/>
      <c r="G1" s="297"/>
      <c r="H1" s="140"/>
      <c r="I1" s="140"/>
    </row>
    <row r="2" spans="1:9" ht="16.5" x14ac:dyDescent="0.3">
      <c r="A2" s="297" t="s">
        <v>201</v>
      </c>
      <c r="B2" s="297"/>
      <c r="C2" s="297"/>
      <c r="D2" s="297"/>
      <c r="E2" s="297"/>
      <c r="F2" s="297"/>
      <c r="G2" s="297"/>
      <c r="H2" s="140"/>
      <c r="I2" s="140"/>
    </row>
    <row r="3" spans="1:9" ht="16.5" x14ac:dyDescent="0.3">
      <c r="A3" s="297" t="s">
        <v>202</v>
      </c>
      <c r="B3" s="297"/>
      <c r="C3" s="297"/>
      <c r="D3" s="297"/>
      <c r="E3" s="297"/>
      <c r="F3" s="297"/>
      <c r="G3" s="297"/>
      <c r="H3" s="140"/>
      <c r="I3" s="140"/>
    </row>
    <row r="4" spans="1:9" ht="16.5" x14ac:dyDescent="0.3">
      <c r="A4" s="140"/>
      <c r="B4" s="140"/>
      <c r="C4" s="142"/>
      <c r="D4" s="142"/>
      <c r="E4" s="143"/>
      <c r="F4" s="143"/>
      <c r="G4" s="142"/>
      <c r="H4" s="140"/>
      <c r="I4" s="140"/>
    </row>
    <row r="5" spans="1:9" ht="16.5" customHeight="1" x14ac:dyDescent="0.3">
      <c r="A5" s="298" t="s">
        <v>172</v>
      </c>
      <c r="B5" s="298" t="s">
        <v>203</v>
      </c>
      <c r="C5" s="298" t="s">
        <v>204</v>
      </c>
      <c r="D5" s="299" t="s">
        <v>174</v>
      </c>
      <c r="E5" s="300" t="s">
        <v>175</v>
      </c>
      <c r="F5" s="144" t="s">
        <v>205</v>
      </c>
      <c r="G5" s="302" t="s">
        <v>206</v>
      </c>
      <c r="H5" s="296"/>
      <c r="I5" s="145"/>
    </row>
    <row r="6" spans="1:9" ht="20.25" customHeight="1" x14ac:dyDescent="0.3">
      <c r="A6" s="298"/>
      <c r="B6" s="298"/>
      <c r="C6" s="298"/>
      <c r="D6" s="299"/>
      <c r="E6" s="301"/>
      <c r="F6" s="146" t="s">
        <v>207</v>
      </c>
      <c r="G6" s="303"/>
      <c r="H6" s="296"/>
      <c r="I6" s="145"/>
    </row>
    <row r="7" spans="1:9" ht="16.5" x14ac:dyDescent="0.3">
      <c r="A7" s="291" t="s">
        <v>208</v>
      </c>
      <c r="B7" s="292"/>
      <c r="C7" s="292"/>
      <c r="D7" s="292"/>
      <c r="E7" s="292"/>
      <c r="F7" s="292"/>
      <c r="G7" s="293"/>
      <c r="H7" s="145"/>
      <c r="I7" s="145"/>
    </row>
    <row r="8" spans="1:9" ht="16.5" x14ac:dyDescent="0.3">
      <c r="A8" s="147">
        <v>1</v>
      </c>
      <c r="B8" s="148" t="s">
        <v>209</v>
      </c>
      <c r="C8" s="149">
        <v>376</v>
      </c>
      <c r="D8" s="150">
        <v>9667024</v>
      </c>
      <c r="E8" s="150">
        <f>8130+5343951+1965035+1191350</f>
        <v>8508466</v>
      </c>
      <c r="F8" s="151">
        <f>E8/D8</f>
        <v>0.88015360259786257</v>
      </c>
      <c r="G8" s="152">
        <f>D8-E8</f>
        <v>1158558</v>
      </c>
      <c r="H8" s="153"/>
      <c r="I8" s="145"/>
    </row>
    <row r="9" spans="1:9" ht="16.5" x14ac:dyDescent="0.3">
      <c r="A9" s="147">
        <v>2</v>
      </c>
      <c r="B9" s="148" t="s">
        <v>210</v>
      </c>
      <c r="C9" s="149">
        <v>721</v>
      </c>
      <c r="D9" s="150">
        <v>22462352</v>
      </c>
      <c r="E9" s="150">
        <f>70077+8706429+12760+3632661+3279453</f>
        <v>15701380</v>
      </c>
      <c r="F9" s="151">
        <f t="shared" ref="F9:F30" si="0">E9/D9</f>
        <v>0.69900872357445021</v>
      </c>
      <c r="G9" s="152">
        <f t="shared" ref="G9:G30" si="1">D9-E9</f>
        <v>6760972</v>
      </c>
      <c r="H9" s="145"/>
      <c r="I9" s="145"/>
    </row>
    <row r="10" spans="1:9" ht="16.5" x14ac:dyDescent="0.3">
      <c r="A10" s="147">
        <v>3</v>
      </c>
      <c r="B10" s="148" t="s">
        <v>211</v>
      </c>
      <c r="C10" s="149">
        <v>312</v>
      </c>
      <c r="D10" s="150">
        <v>4706134</v>
      </c>
      <c r="E10" s="150">
        <f>3401633+967268+337233+179777+179777</f>
        <v>5065688</v>
      </c>
      <c r="F10" s="151">
        <f t="shared" si="0"/>
        <v>1.076401139449068</v>
      </c>
      <c r="G10" s="152">
        <f t="shared" si="1"/>
        <v>-359554</v>
      </c>
      <c r="H10" s="145"/>
      <c r="I10" s="145"/>
    </row>
    <row r="11" spans="1:9" ht="16.5" x14ac:dyDescent="0.3">
      <c r="A11" s="147">
        <v>4</v>
      </c>
      <c r="B11" s="148" t="s">
        <v>212</v>
      </c>
      <c r="C11" s="149">
        <v>688</v>
      </c>
      <c r="D11" s="150">
        <v>7295452</v>
      </c>
      <c r="E11" s="150">
        <f>1513285+773698+409360+387226+144008</f>
        <v>3227577</v>
      </c>
      <c r="F11" s="151">
        <f t="shared" si="0"/>
        <v>0.44240946277214899</v>
      </c>
      <c r="G11" s="152">
        <f t="shared" si="1"/>
        <v>4067875</v>
      </c>
      <c r="H11" s="145"/>
      <c r="I11" s="145"/>
    </row>
    <row r="12" spans="1:9" ht="16.5" x14ac:dyDescent="0.3">
      <c r="A12" s="147">
        <v>5</v>
      </c>
      <c r="B12" s="148" t="s">
        <v>213</v>
      </c>
      <c r="C12" s="149">
        <v>291</v>
      </c>
      <c r="D12" s="150">
        <v>7288601</v>
      </c>
      <c r="E12" s="150">
        <f>105780+22568+2252380+3300242</f>
        <v>5680970</v>
      </c>
      <c r="F12" s="151">
        <f t="shared" si="0"/>
        <v>0.77943215714510916</v>
      </c>
      <c r="G12" s="152">
        <f t="shared" si="1"/>
        <v>1607631</v>
      </c>
      <c r="H12" s="145"/>
      <c r="I12" s="145"/>
    </row>
    <row r="13" spans="1:9" ht="16.5" x14ac:dyDescent="0.3">
      <c r="A13" s="147">
        <v>6</v>
      </c>
      <c r="B13" s="148" t="s">
        <v>214</v>
      </c>
      <c r="C13" s="149">
        <v>220</v>
      </c>
      <c r="D13" s="150">
        <v>6474770</v>
      </c>
      <c r="E13" s="150">
        <f>8750+2199678+1059189+65650+2365204+34599+135080</f>
        <v>5868150</v>
      </c>
      <c r="F13" s="151">
        <f t="shared" si="0"/>
        <v>0.90631018553554799</v>
      </c>
      <c r="G13" s="152">
        <f t="shared" si="1"/>
        <v>606620</v>
      </c>
      <c r="H13" s="145"/>
      <c r="I13" s="145"/>
    </row>
    <row r="14" spans="1:9" ht="16.5" x14ac:dyDescent="0.3">
      <c r="A14" s="147">
        <v>7</v>
      </c>
      <c r="B14" s="148" t="s">
        <v>215</v>
      </c>
      <c r="C14" s="149">
        <v>405</v>
      </c>
      <c r="D14" s="150">
        <v>12982218</v>
      </c>
      <c r="E14" s="150">
        <f>7138837+2022302+671407</f>
        <v>9832546</v>
      </c>
      <c r="F14" s="151">
        <f t="shared" si="0"/>
        <v>0.75738567939623258</v>
      </c>
      <c r="G14" s="152">
        <f t="shared" si="1"/>
        <v>3149672</v>
      </c>
      <c r="H14" s="145"/>
      <c r="I14" s="145"/>
    </row>
    <row r="15" spans="1:9" ht="16.5" x14ac:dyDescent="0.3">
      <c r="A15" s="147">
        <v>8</v>
      </c>
      <c r="B15" s="148" t="s">
        <v>216</v>
      </c>
      <c r="C15" s="149">
        <v>506</v>
      </c>
      <c r="D15" s="150">
        <v>13177730</v>
      </c>
      <c r="E15" s="150">
        <f>36002+13177730</f>
        <v>13213732</v>
      </c>
      <c r="F15" s="151">
        <f t="shared" si="0"/>
        <v>1.0027320335141181</v>
      </c>
      <c r="G15" s="152">
        <f t="shared" si="1"/>
        <v>-36002</v>
      </c>
      <c r="H15" s="145"/>
      <c r="I15" s="145"/>
    </row>
    <row r="16" spans="1:9" ht="16.5" x14ac:dyDescent="0.3">
      <c r="A16" s="147">
        <v>9</v>
      </c>
      <c r="B16" s="148" t="s">
        <v>217</v>
      </c>
      <c r="C16" s="149">
        <v>479</v>
      </c>
      <c r="D16" s="150">
        <v>10589851</v>
      </c>
      <c r="E16" s="150">
        <v>10589851</v>
      </c>
      <c r="F16" s="151">
        <f t="shared" si="0"/>
        <v>1</v>
      </c>
      <c r="G16" s="152">
        <f t="shared" si="1"/>
        <v>0</v>
      </c>
      <c r="H16" s="145"/>
      <c r="I16" s="145"/>
    </row>
    <row r="17" spans="1:9" ht="16.5" x14ac:dyDescent="0.3">
      <c r="A17" s="147">
        <v>10</v>
      </c>
      <c r="B17" s="148" t="s">
        <v>218</v>
      </c>
      <c r="C17" s="149">
        <v>631</v>
      </c>
      <c r="D17" s="150">
        <v>9315332</v>
      </c>
      <c r="E17" s="150">
        <f>8055022+1260310</f>
        <v>9315332</v>
      </c>
      <c r="F17" s="151">
        <f t="shared" si="0"/>
        <v>1</v>
      </c>
      <c r="G17" s="152">
        <f t="shared" si="1"/>
        <v>0</v>
      </c>
      <c r="H17" s="145"/>
      <c r="I17" s="145"/>
    </row>
    <row r="18" spans="1:9" ht="16.5" x14ac:dyDescent="0.3">
      <c r="A18" s="147">
        <v>11</v>
      </c>
      <c r="B18" s="148" t="s">
        <v>219</v>
      </c>
      <c r="C18" s="149">
        <v>323</v>
      </c>
      <c r="D18" s="150">
        <v>9393993</v>
      </c>
      <c r="E18" s="150">
        <f>2128523</f>
        <v>2128523</v>
      </c>
      <c r="F18" s="151">
        <f t="shared" si="0"/>
        <v>0.22658341346432767</v>
      </c>
      <c r="G18" s="152">
        <f t="shared" si="1"/>
        <v>7265470</v>
      </c>
      <c r="H18" s="145"/>
      <c r="I18" s="145"/>
    </row>
    <row r="19" spans="1:9" ht="16.5" x14ac:dyDescent="0.3">
      <c r="A19" s="147">
        <v>12</v>
      </c>
      <c r="B19" s="148" t="s">
        <v>220</v>
      </c>
      <c r="C19" s="149">
        <v>292</v>
      </c>
      <c r="D19" s="150">
        <v>6612520</v>
      </c>
      <c r="E19" s="150">
        <f>6612520</f>
        <v>6612520</v>
      </c>
      <c r="F19" s="151">
        <f t="shared" si="0"/>
        <v>1</v>
      </c>
      <c r="G19" s="152">
        <f t="shared" si="1"/>
        <v>0</v>
      </c>
      <c r="H19" s="145"/>
      <c r="I19" s="145"/>
    </row>
    <row r="20" spans="1:9" ht="16.5" x14ac:dyDescent="0.3">
      <c r="A20" s="147">
        <v>13</v>
      </c>
      <c r="B20" s="148" t="s">
        <v>221</v>
      </c>
      <c r="C20" s="149">
        <v>426</v>
      </c>
      <c r="D20" s="150">
        <v>9658177</v>
      </c>
      <c r="E20" s="150">
        <f>9658177</f>
        <v>9658177</v>
      </c>
      <c r="F20" s="151">
        <f t="shared" si="0"/>
        <v>1</v>
      </c>
      <c r="G20" s="152">
        <f t="shared" si="1"/>
        <v>0</v>
      </c>
      <c r="H20" s="145"/>
      <c r="I20" s="145"/>
    </row>
    <row r="21" spans="1:9" ht="16.5" x14ac:dyDescent="0.3">
      <c r="A21" s="147">
        <v>14</v>
      </c>
      <c r="B21" s="148" t="s">
        <v>222</v>
      </c>
      <c r="C21" s="149">
        <v>582</v>
      </c>
      <c r="D21" s="150">
        <v>7561603</v>
      </c>
      <c r="E21" s="150">
        <f>5000</f>
        <v>5000</v>
      </c>
      <c r="F21" s="151">
        <f t="shared" si="0"/>
        <v>6.6123545496900586E-4</v>
      </c>
      <c r="G21" s="152">
        <f t="shared" si="1"/>
        <v>7556603</v>
      </c>
      <c r="H21" s="145"/>
      <c r="I21" s="145"/>
    </row>
    <row r="22" spans="1:9" s="155" customFormat="1" ht="16.5" x14ac:dyDescent="0.3">
      <c r="A22" s="147">
        <v>15</v>
      </c>
      <c r="B22" s="148" t="s">
        <v>223</v>
      </c>
      <c r="C22" s="149">
        <v>491</v>
      </c>
      <c r="D22" s="150">
        <v>5621725</v>
      </c>
      <c r="E22" s="150">
        <f>183850+5621725</f>
        <v>5805575</v>
      </c>
      <c r="F22" s="151">
        <f t="shared" si="0"/>
        <v>1.0327034851402372</v>
      </c>
      <c r="G22" s="152">
        <f t="shared" si="1"/>
        <v>-183850</v>
      </c>
      <c r="H22" s="154"/>
      <c r="I22" s="154"/>
    </row>
    <row r="23" spans="1:9" ht="16.5" x14ac:dyDescent="0.3">
      <c r="A23" s="147">
        <v>16</v>
      </c>
      <c r="B23" s="148" t="s">
        <v>224</v>
      </c>
      <c r="C23" s="149">
        <v>264</v>
      </c>
      <c r="D23" s="150">
        <v>5881627</v>
      </c>
      <c r="E23" s="150">
        <f>5881627</f>
        <v>5881627</v>
      </c>
      <c r="F23" s="151">
        <f t="shared" si="0"/>
        <v>1</v>
      </c>
      <c r="G23" s="152">
        <f t="shared" si="1"/>
        <v>0</v>
      </c>
      <c r="H23" s="145"/>
      <c r="I23" s="145"/>
    </row>
    <row r="24" spans="1:9" ht="16.5" x14ac:dyDescent="0.3">
      <c r="A24" s="147">
        <v>17</v>
      </c>
      <c r="B24" s="148" t="s">
        <v>225</v>
      </c>
      <c r="C24" s="149">
        <v>207</v>
      </c>
      <c r="D24" s="150">
        <v>2384541</v>
      </c>
      <c r="E24" s="150">
        <f>2384541+11065+33650</f>
        <v>2429256</v>
      </c>
      <c r="F24" s="151">
        <f t="shared" si="0"/>
        <v>1.018752036555463</v>
      </c>
      <c r="G24" s="152">
        <f t="shared" si="1"/>
        <v>-44715</v>
      </c>
      <c r="H24" s="145"/>
      <c r="I24" s="145"/>
    </row>
    <row r="25" spans="1:9" ht="16.5" x14ac:dyDescent="0.3">
      <c r="A25" s="147">
        <v>18</v>
      </c>
      <c r="B25" s="148" t="s">
        <v>226</v>
      </c>
      <c r="C25" s="149">
        <v>174</v>
      </c>
      <c r="D25" s="150">
        <v>4680479</v>
      </c>
      <c r="E25" s="150">
        <f>2289742+449536+148509+1440181+352511</f>
        <v>4680479</v>
      </c>
      <c r="F25" s="151">
        <f t="shared" si="0"/>
        <v>1</v>
      </c>
      <c r="G25" s="152">
        <f t="shared" si="1"/>
        <v>0</v>
      </c>
      <c r="H25" s="145"/>
      <c r="I25" s="145"/>
    </row>
    <row r="26" spans="1:9" ht="16.5" x14ac:dyDescent="0.3">
      <c r="A26" s="147">
        <v>19</v>
      </c>
      <c r="B26" s="148" t="s">
        <v>227</v>
      </c>
      <c r="C26" s="149">
        <v>269</v>
      </c>
      <c r="D26" s="150">
        <v>6275469</v>
      </c>
      <c r="E26" s="150">
        <f>6275469</f>
        <v>6275469</v>
      </c>
      <c r="F26" s="151">
        <f t="shared" si="0"/>
        <v>1</v>
      </c>
      <c r="G26" s="152">
        <f t="shared" si="1"/>
        <v>0</v>
      </c>
      <c r="H26" s="145"/>
      <c r="I26" s="145"/>
    </row>
    <row r="27" spans="1:9" ht="16.5" x14ac:dyDescent="0.3">
      <c r="A27" s="147">
        <v>20</v>
      </c>
      <c r="B27" s="156" t="s">
        <v>228</v>
      </c>
      <c r="C27" s="149">
        <v>215</v>
      </c>
      <c r="D27" s="150">
        <v>1689772</v>
      </c>
      <c r="E27" s="150">
        <f>1689772</f>
        <v>1689772</v>
      </c>
      <c r="F27" s="151">
        <f t="shared" si="0"/>
        <v>1</v>
      </c>
      <c r="G27" s="152">
        <f t="shared" si="1"/>
        <v>0</v>
      </c>
      <c r="H27" s="145"/>
      <c r="I27" s="145"/>
    </row>
    <row r="28" spans="1:9" ht="16.5" x14ac:dyDescent="0.3">
      <c r="A28" s="147">
        <v>21</v>
      </c>
      <c r="B28" s="148" t="s">
        <v>229</v>
      </c>
      <c r="C28" s="149">
        <v>203</v>
      </c>
      <c r="D28" s="150">
        <v>4013726</v>
      </c>
      <c r="E28" s="150">
        <f>4013726</f>
        <v>4013726</v>
      </c>
      <c r="F28" s="151">
        <f t="shared" si="0"/>
        <v>1</v>
      </c>
      <c r="G28" s="152">
        <f t="shared" si="1"/>
        <v>0</v>
      </c>
      <c r="H28" s="145"/>
      <c r="I28" s="145"/>
    </row>
    <row r="29" spans="1:9" ht="16.5" x14ac:dyDescent="0.3">
      <c r="A29" s="147">
        <v>22</v>
      </c>
      <c r="B29" s="148" t="s">
        <v>230</v>
      </c>
      <c r="C29" s="157">
        <v>167</v>
      </c>
      <c r="D29" s="150">
        <v>1367187</v>
      </c>
      <c r="E29" s="158">
        <f>1367187+22905</f>
        <v>1390092</v>
      </c>
      <c r="F29" s="151">
        <f t="shared" si="0"/>
        <v>1.0167533775555209</v>
      </c>
      <c r="G29" s="152">
        <f t="shared" si="1"/>
        <v>-22905</v>
      </c>
      <c r="H29" s="145"/>
      <c r="I29" s="145"/>
    </row>
    <row r="30" spans="1:9" ht="16.5" x14ac:dyDescent="0.3">
      <c r="A30" s="147">
        <v>23</v>
      </c>
      <c r="B30" s="148" t="s">
        <v>231</v>
      </c>
      <c r="C30" s="149">
        <v>150</v>
      </c>
      <c r="D30" s="150">
        <v>1202441</v>
      </c>
      <c r="E30" s="150">
        <f>1202441</f>
        <v>1202441</v>
      </c>
      <c r="F30" s="151">
        <f t="shared" si="0"/>
        <v>1</v>
      </c>
      <c r="G30" s="152">
        <f t="shared" si="1"/>
        <v>0</v>
      </c>
      <c r="H30" s="145"/>
      <c r="I30" s="145"/>
    </row>
    <row r="31" spans="1:9" ht="16.5" x14ac:dyDescent="0.3">
      <c r="A31" s="147"/>
      <c r="B31" s="159" t="s">
        <v>232</v>
      </c>
      <c r="C31" s="160">
        <f>SUM(C8:C30)</f>
        <v>8392</v>
      </c>
      <c r="D31" s="160">
        <f t="shared" ref="D31" si="2">SUM(D8:D30)</f>
        <v>170302724</v>
      </c>
      <c r="E31" s="160">
        <f>SUM(E8:E30)</f>
        <v>138776349</v>
      </c>
      <c r="F31" s="151">
        <f>E31/D31</f>
        <v>0.81488038324037615</v>
      </c>
      <c r="G31" s="161">
        <f>D31-E31</f>
        <v>31526375</v>
      </c>
      <c r="H31" s="145"/>
      <c r="I31" s="145"/>
    </row>
    <row r="32" spans="1:9" ht="16.5" x14ac:dyDescent="0.3">
      <c r="A32" s="291" t="s">
        <v>233</v>
      </c>
      <c r="B32" s="292"/>
      <c r="C32" s="292"/>
      <c r="D32" s="292"/>
      <c r="E32" s="292"/>
      <c r="F32" s="292"/>
      <c r="G32" s="293"/>
      <c r="H32" s="145"/>
      <c r="I32" s="145"/>
    </row>
    <row r="33" spans="1:9" ht="16.5" x14ac:dyDescent="0.3">
      <c r="A33" s="162">
        <v>1</v>
      </c>
      <c r="B33" s="148" t="s">
        <v>234</v>
      </c>
      <c r="C33" s="150">
        <v>510</v>
      </c>
      <c r="D33" s="150">
        <v>8531299</v>
      </c>
      <c r="E33" s="150">
        <f>8531299</f>
        <v>8531299</v>
      </c>
      <c r="F33" s="151">
        <f>E33/D33</f>
        <v>1</v>
      </c>
      <c r="G33" s="150">
        <f>D33-E33</f>
        <v>0</v>
      </c>
      <c r="H33" s="145"/>
      <c r="I33" s="145"/>
    </row>
    <row r="34" spans="1:9" ht="16.5" x14ac:dyDescent="0.3">
      <c r="A34" s="162">
        <v>2</v>
      </c>
      <c r="B34" s="163" t="s">
        <v>235</v>
      </c>
      <c r="C34" s="164">
        <v>354</v>
      </c>
      <c r="D34" s="164">
        <v>4912670</v>
      </c>
      <c r="E34" s="164">
        <f>4912670</f>
        <v>4912670</v>
      </c>
      <c r="F34" s="151">
        <f t="shared" ref="F34:F47" si="3">E34/D34</f>
        <v>1</v>
      </c>
      <c r="G34" s="150">
        <f t="shared" ref="G34:G47" si="4">D34-E34</f>
        <v>0</v>
      </c>
      <c r="H34" s="145"/>
      <c r="I34" s="145"/>
    </row>
    <row r="35" spans="1:9" ht="16.5" x14ac:dyDescent="0.3">
      <c r="A35" s="162">
        <v>3</v>
      </c>
      <c r="B35" s="163" t="s">
        <v>236</v>
      </c>
      <c r="C35" s="164">
        <v>266</v>
      </c>
      <c r="D35" s="164">
        <v>3804828</v>
      </c>
      <c r="E35" s="164">
        <f>3804828</f>
        <v>3804828</v>
      </c>
      <c r="F35" s="151">
        <f t="shared" si="3"/>
        <v>1</v>
      </c>
      <c r="G35" s="150">
        <f t="shared" si="4"/>
        <v>0</v>
      </c>
      <c r="H35" s="145"/>
      <c r="I35" s="145"/>
    </row>
    <row r="36" spans="1:9" ht="16.5" x14ac:dyDescent="0.3">
      <c r="A36" s="162">
        <v>4</v>
      </c>
      <c r="B36" s="163" t="s">
        <v>237</v>
      </c>
      <c r="C36" s="164">
        <v>376</v>
      </c>
      <c r="D36" s="164">
        <v>10289155</v>
      </c>
      <c r="E36" s="164">
        <f>10289155</f>
        <v>10289155</v>
      </c>
      <c r="F36" s="151">
        <f t="shared" si="3"/>
        <v>1</v>
      </c>
      <c r="G36" s="150">
        <f t="shared" si="4"/>
        <v>0</v>
      </c>
      <c r="H36" s="145"/>
      <c r="I36" s="145"/>
    </row>
    <row r="37" spans="1:9" s="155" customFormat="1" ht="16.5" x14ac:dyDescent="0.3">
      <c r="A37" s="147">
        <v>5</v>
      </c>
      <c r="B37" s="163" t="s">
        <v>238</v>
      </c>
      <c r="C37" s="164">
        <v>313</v>
      </c>
      <c r="D37" s="164">
        <v>4655816</v>
      </c>
      <c r="E37" s="164">
        <f>4655816</f>
        <v>4655816</v>
      </c>
      <c r="F37" s="151">
        <f t="shared" si="3"/>
        <v>1</v>
      </c>
      <c r="G37" s="150">
        <f t="shared" si="4"/>
        <v>0</v>
      </c>
      <c r="H37" s="154"/>
      <c r="I37" s="154"/>
    </row>
    <row r="38" spans="1:9" ht="16.5" x14ac:dyDescent="0.3">
      <c r="A38" s="162">
        <v>6</v>
      </c>
      <c r="B38" s="163" t="s">
        <v>239</v>
      </c>
      <c r="C38" s="164">
        <v>392</v>
      </c>
      <c r="D38" s="164">
        <v>5401112</v>
      </c>
      <c r="E38" s="164">
        <f>5401112</f>
        <v>5401112</v>
      </c>
      <c r="F38" s="151">
        <f t="shared" si="3"/>
        <v>1</v>
      </c>
      <c r="G38" s="150">
        <f t="shared" si="4"/>
        <v>0</v>
      </c>
      <c r="H38" s="145"/>
      <c r="I38" s="145"/>
    </row>
    <row r="39" spans="1:9" ht="16.5" x14ac:dyDescent="0.3">
      <c r="A39" s="162">
        <v>7</v>
      </c>
      <c r="B39" s="163" t="s">
        <v>240</v>
      </c>
      <c r="C39" s="164">
        <v>160</v>
      </c>
      <c r="D39" s="164">
        <v>2382263</v>
      </c>
      <c r="E39" s="164">
        <f>2382263</f>
        <v>2382263</v>
      </c>
      <c r="F39" s="151">
        <f t="shared" si="3"/>
        <v>1</v>
      </c>
      <c r="G39" s="150">
        <f t="shared" si="4"/>
        <v>0</v>
      </c>
      <c r="H39" s="145"/>
      <c r="I39" s="165"/>
    </row>
    <row r="40" spans="1:9" ht="16.5" x14ac:dyDescent="0.3">
      <c r="A40" s="162">
        <v>8</v>
      </c>
      <c r="B40" s="163" t="s">
        <v>241</v>
      </c>
      <c r="C40" s="164">
        <v>172</v>
      </c>
      <c r="D40" s="164">
        <v>2720603</v>
      </c>
      <c r="E40" s="164">
        <f>2720603</f>
        <v>2720603</v>
      </c>
      <c r="F40" s="151">
        <f t="shared" si="3"/>
        <v>1</v>
      </c>
      <c r="G40" s="150">
        <f t="shared" si="4"/>
        <v>0</v>
      </c>
      <c r="H40" s="145"/>
      <c r="I40" s="145"/>
    </row>
    <row r="41" spans="1:9" ht="16.5" x14ac:dyDescent="0.3">
      <c r="A41" s="162">
        <v>9</v>
      </c>
      <c r="B41" s="163" t="s">
        <v>242</v>
      </c>
      <c r="C41" s="164">
        <v>207</v>
      </c>
      <c r="D41" s="164">
        <v>2948877</v>
      </c>
      <c r="E41" s="164">
        <f>2948877</f>
        <v>2948877</v>
      </c>
      <c r="F41" s="151">
        <f t="shared" si="3"/>
        <v>1</v>
      </c>
      <c r="G41" s="150">
        <f t="shared" si="4"/>
        <v>0</v>
      </c>
      <c r="H41" s="145"/>
      <c r="I41" s="145"/>
    </row>
    <row r="42" spans="1:9" ht="16.5" x14ac:dyDescent="0.3">
      <c r="A42" s="162">
        <v>10</v>
      </c>
      <c r="B42" s="163" t="s">
        <v>243</v>
      </c>
      <c r="C42" s="164">
        <v>280</v>
      </c>
      <c r="D42" s="164">
        <v>4742756</v>
      </c>
      <c r="E42" s="164">
        <f>4742756</f>
        <v>4742756</v>
      </c>
      <c r="F42" s="151">
        <f t="shared" si="3"/>
        <v>1</v>
      </c>
      <c r="G42" s="150">
        <f t="shared" si="4"/>
        <v>0</v>
      </c>
      <c r="H42" s="145"/>
      <c r="I42" s="145"/>
    </row>
    <row r="43" spans="1:9" ht="16.5" x14ac:dyDescent="0.3">
      <c r="A43" s="162">
        <v>11</v>
      </c>
      <c r="B43" s="163" t="s">
        <v>244</v>
      </c>
      <c r="C43" s="164">
        <v>236</v>
      </c>
      <c r="D43" s="164">
        <v>4007005</v>
      </c>
      <c r="E43" s="164">
        <f>4087005</f>
        <v>4087005</v>
      </c>
      <c r="F43" s="151">
        <f t="shared" si="3"/>
        <v>1.0199650362303017</v>
      </c>
      <c r="G43" s="150">
        <f t="shared" si="4"/>
        <v>-80000</v>
      </c>
      <c r="H43" s="145"/>
      <c r="I43" s="145"/>
    </row>
    <row r="44" spans="1:9" ht="16.5" x14ac:dyDescent="0.3">
      <c r="A44" s="162">
        <v>12</v>
      </c>
      <c r="B44" s="163" t="s">
        <v>245</v>
      </c>
      <c r="C44" s="164">
        <v>177</v>
      </c>
      <c r="D44" s="164">
        <v>1840389</v>
      </c>
      <c r="E44" s="164">
        <f>1840389</f>
        <v>1840389</v>
      </c>
      <c r="F44" s="151">
        <f t="shared" si="3"/>
        <v>1</v>
      </c>
      <c r="G44" s="150">
        <f t="shared" si="4"/>
        <v>0</v>
      </c>
      <c r="H44" s="145"/>
      <c r="I44" s="145"/>
    </row>
    <row r="45" spans="1:9" s="155" customFormat="1" ht="16.5" x14ac:dyDescent="0.3">
      <c r="A45" s="147">
        <v>13</v>
      </c>
      <c r="B45" s="163" t="s">
        <v>246</v>
      </c>
      <c r="C45" s="164">
        <v>145</v>
      </c>
      <c r="D45" s="164">
        <v>2321437</v>
      </c>
      <c r="E45" s="164">
        <f>2321437</f>
        <v>2321437</v>
      </c>
      <c r="F45" s="151">
        <f t="shared" si="3"/>
        <v>1</v>
      </c>
      <c r="G45" s="150">
        <f t="shared" si="4"/>
        <v>0</v>
      </c>
      <c r="H45" s="154"/>
      <c r="I45" s="154"/>
    </row>
    <row r="46" spans="1:9" ht="16.5" x14ac:dyDescent="0.3">
      <c r="A46" s="162">
        <v>14</v>
      </c>
      <c r="B46" s="163" t="s">
        <v>247</v>
      </c>
      <c r="C46" s="164">
        <v>166</v>
      </c>
      <c r="D46" s="164">
        <v>2728835</v>
      </c>
      <c r="E46" s="164">
        <f>2728835</f>
        <v>2728835</v>
      </c>
      <c r="F46" s="151">
        <f t="shared" si="3"/>
        <v>1</v>
      </c>
      <c r="G46" s="150">
        <f t="shared" si="4"/>
        <v>0</v>
      </c>
      <c r="H46" s="145"/>
      <c r="I46" s="145"/>
    </row>
    <row r="47" spans="1:9" ht="16.5" x14ac:dyDescent="0.3">
      <c r="A47" s="166"/>
      <c r="B47" s="166" t="s">
        <v>232</v>
      </c>
      <c r="C47" s="167">
        <f>SUM(C33:C46)</f>
        <v>3754</v>
      </c>
      <c r="D47" s="167">
        <f t="shared" ref="D47" si="5">SUM(D33:D46)</f>
        <v>61287045</v>
      </c>
      <c r="E47" s="168">
        <f>SUM(E33:E46)</f>
        <v>61367045</v>
      </c>
      <c r="F47" s="151">
        <f t="shared" si="3"/>
        <v>1.0013053329622925</v>
      </c>
      <c r="G47" s="160">
        <f t="shared" si="4"/>
        <v>-80000</v>
      </c>
      <c r="H47" s="145"/>
      <c r="I47" s="145"/>
    </row>
    <row r="48" spans="1:9" ht="16.5" x14ac:dyDescent="0.3">
      <c r="A48" s="291" t="s">
        <v>248</v>
      </c>
      <c r="B48" s="292"/>
      <c r="C48" s="292"/>
      <c r="D48" s="292"/>
      <c r="E48" s="292"/>
      <c r="F48" s="292"/>
      <c r="G48" s="293"/>
      <c r="H48" s="145"/>
      <c r="I48" s="145"/>
    </row>
    <row r="49" spans="1:9" ht="16.5" x14ac:dyDescent="0.3">
      <c r="A49" s="169">
        <v>1</v>
      </c>
      <c r="B49" s="148" t="s">
        <v>249</v>
      </c>
      <c r="C49" s="149">
        <v>113</v>
      </c>
      <c r="D49" s="150">
        <v>3462369</v>
      </c>
      <c r="E49" s="150">
        <f>3462369</f>
        <v>3462369</v>
      </c>
      <c r="F49" s="151">
        <f>E49/D49</f>
        <v>1</v>
      </c>
      <c r="G49" s="152">
        <f>D49-E49</f>
        <v>0</v>
      </c>
      <c r="H49" s="145"/>
      <c r="I49" s="145"/>
    </row>
    <row r="50" spans="1:9" ht="16.5" x14ac:dyDescent="0.3">
      <c r="A50" s="169">
        <v>2</v>
      </c>
      <c r="B50" s="163" t="s">
        <v>250</v>
      </c>
      <c r="C50" s="147">
        <v>388</v>
      </c>
      <c r="D50" s="164">
        <v>5465015</v>
      </c>
      <c r="E50" s="164">
        <f>2359007</f>
        <v>2359007</v>
      </c>
      <c r="F50" s="151">
        <f t="shared" ref="F50:F52" si="6">E50/D50</f>
        <v>0.43165608877560263</v>
      </c>
      <c r="G50" s="152">
        <f t="shared" ref="G50:G52" si="7">D50-E50</f>
        <v>3106008</v>
      </c>
      <c r="H50" s="145"/>
      <c r="I50" s="145"/>
    </row>
    <row r="51" spans="1:9" ht="16.5" x14ac:dyDescent="0.3">
      <c r="A51" s="169">
        <v>3</v>
      </c>
      <c r="B51" s="163" t="s">
        <v>251</v>
      </c>
      <c r="C51" s="147">
        <v>627</v>
      </c>
      <c r="D51" s="164">
        <v>10568723</v>
      </c>
      <c r="E51" s="164">
        <f>4268553</f>
        <v>4268553</v>
      </c>
      <c r="F51" s="151">
        <f t="shared" si="6"/>
        <v>0.40388540791541228</v>
      </c>
      <c r="G51" s="152">
        <f t="shared" si="7"/>
        <v>6300170</v>
      </c>
      <c r="H51" s="145"/>
      <c r="I51" s="145"/>
    </row>
    <row r="52" spans="1:9" ht="16.5" x14ac:dyDescent="0.3">
      <c r="A52" s="169">
        <v>4</v>
      </c>
      <c r="B52" s="163" t="s">
        <v>252</v>
      </c>
      <c r="C52" s="147">
        <v>838</v>
      </c>
      <c r="D52" s="164">
        <v>14826325</v>
      </c>
      <c r="E52" s="164">
        <f>14826325</f>
        <v>14826325</v>
      </c>
      <c r="F52" s="151">
        <f t="shared" si="6"/>
        <v>1</v>
      </c>
      <c r="G52" s="152">
        <f t="shared" si="7"/>
        <v>0</v>
      </c>
      <c r="H52" s="145"/>
      <c r="I52" s="145"/>
    </row>
    <row r="53" spans="1:9" ht="16.5" x14ac:dyDescent="0.3">
      <c r="A53" s="169">
        <v>5</v>
      </c>
      <c r="B53" s="163" t="s">
        <v>253</v>
      </c>
      <c r="C53" s="147">
        <v>504</v>
      </c>
      <c r="D53" s="164">
        <v>8524199</v>
      </c>
      <c r="E53" s="164">
        <f>3695750+1052000</f>
        <v>4747750</v>
      </c>
      <c r="F53" s="170">
        <f>E53/D53</f>
        <v>0.55697315372388656</v>
      </c>
      <c r="G53" s="171">
        <f>D53-E53</f>
        <v>3776449</v>
      </c>
      <c r="H53" s="145"/>
      <c r="I53" s="145"/>
    </row>
    <row r="54" spans="1:9" ht="16.5" x14ac:dyDescent="0.3">
      <c r="A54" s="169">
        <v>6</v>
      </c>
      <c r="B54" s="163" t="s">
        <v>254</v>
      </c>
      <c r="C54" s="147">
        <v>269</v>
      </c>
      <c r="D54" s="164">
        <v>9341336</v>
      </c>
      <c r="E54" s="164">
        <f>6617871+538923</f>
        <v>7156794</v>
      </c>
      <c r="F54" s="170">
        <f t="shared" ref="F54:F62" si="8">E54/D54</f>
        <v>0.76614244472096926</v>
      </c>
      <c r="G54" s="171">
        <f t="shared" ref="G54:G62" si="9">D54-E54</f>
        <v>2184542</v>
      </c>
      <c r="H54" s="145"/>
      <c r="I54" s="145"/>
    </row>
    <row r="55" spans="1:9" ht="16.5" x14ac:dyDescent="0.3">
      <c r="A55" s="169">
        <v>7</v>
      </c>
      <c r="B55" s="163" t="s">
        <v>255</v>
      </c>
      <c r="C55" s="147">
        <v>211</v>
      </c>
      <c r="D55" s="164">
        <v>5061765</v>
      </c>
      <c r="E55" s="164">
        <f>5000+95415</f>
        <v>100415</v>
      </c>
      <c r="F55" s="170">
        <f t="shared" si="8"/>
        <v>1.9837941903664037E-2</v>
      </c>
      <c r="G55" s="171">
        <f t="shared" si="9"/>
        <v>4961350</v>
      </c>
      <c r="H55" s="145"/>
      <c r="I55" s="145"/>
    </row>
    <row r="56" spans="1:9" ht="16.5" x14ac:dyDescent="0.3">
      <c r="A56" s="169">
        <v>8</v>
      </c>
      <c r="B56" s="163" t="s">
        <v>256</v>
      </c>
      <c r="C56" s="147">
        <v>213</v>
      </c>
      <c r="D56" s="164">
        <v>8379286</v>
      </c>
      <c r="E56" s="164">
        <f>2018102</f>
        <v>2018102</v>
      </c>
      <c r="F56" s="170">
        <f t="shared" si="8"/>
        <v>0.24084414829616749</v>
      </c>
      <c r="G56" s="171">
        <f t="shared" si="9"/>
        <v>6361184</v>
      </c>
      <c r="H56" s="145"/>
      <c r="I56" s="145"/>
    </row>
    <row r="57" spans="1:9" ht="16.5" x14ac:dyDescent="0.3">
      <c r="A57" s="169">
        <v>9</v>
      </c>
      <c r="B57" s="163" t="s">
        <v>257</v>
      </c>
      <c r="C57" s="147">
        <v>501</v>
      </c>
      <c r="D57" s="164">
        <v>10090001</v>
      </c>
      <c r="E57" s="164">
        <f>9716212</f>
        <v>9716212</v>
      </c>
      <c r="F57" s="170">
        <f t="shared" si="8"/>
        <v>0.96295451308676783</v>
      </c>
      <c r="G57" s="171">
        <f t="shared" si="9"/>
        <v>373789</v>
      </c>
      <c r="H57" s="145"/>
      <c r="I57" s="145"/>
    </row>
    <row r="58" spans="1:9" ht="16.5" x14ac:dyDescent="0.3">
      <c r="A58" s="169">
        <v>10</v>
      </c>
      <c r="B58" s="163" t="s">
        <v>258</v>
      </c>
      <c r="C58" s="147">
        <v>371</v>
      </c>
      <c r="D58" s="164">
        <v>7826841</v>
      </c>
      <c r="E58" s="164"/>
      <c r="F58" s="170">
        <f t="shared" si="8"/>
        <v>0</v>
      </c>
      <c r="G58" s="171">
        <f t="shared" si="9"/>
        <v>7826841</v>
      </c>
      <c r="H58" s="145"/>
      <c r="I58" s="145"/>
    </row>
    <row r="59" spans="1:9" ht="16.5" x14ac:dyDescent="0.3">
      <c r="A59" s="169">
        <v>11</v>
      </c>
      <c r="B59" s="163" t="s">
        <v>259</v>
      </c>
      <c r="C59" s="147">
        <v>326</v>
      </c>
      <c r="D59" s="164">
        <v>8625625</v>
      </c>
      <c r="E59" s="164">
        <f>5286500</f>
        <v>5286500</v>
      </c>
      <c r="F59" s="170">
        <f t="shared" si="8"/>
        <v>0.61288312441127457</v>
      </c>
      <c r="G59" s="171">
        <f t="shared" si="9"/>
        <v>3339125</v>
      </c>
      <c r="H59" s="145"/>
      <c r="I59" s="145"/>
    </row>
    <row r="60" spans="1:9" ht="16.5" x14ac:dyDescent="0.3">
      <c r="A60" s="169">
        <v>12</v>
      </c>
      <c r="B60" s="163" t="s">
        <v>260</v>
      </c>
      <c r="C60" s="147">
        <v>95</v>
      </c>
      <c r="D60" s="164">
        <v>1541100</v>
      </c>
      <c r="E60" s="164">
        <f>1541000</f>
        <v>1541000</v>
      </c>
      <c r="F60" s="170">
        <f t="shared" si="8"/>
        <v>0.99993511128414769</v>
      </c>
      <c r="G60" s="171">
        <f>D60-E60</f>
        <v>100</v>
      </c>
      <c r="H60" s="145"/>
      <c r="I60" s="145"/>
    </row>
    <row r="61" spans="1:9" ht="16.5" x14ac:dyDescent="0.3">
      <c r="A61" s="169">
        <v>13</v>
      </c>
      <c r="B61" s="163" t="s">
        <v>261</v>
      </c>
      <c r="C61" s="164">
        <v>1059</v>
      </c>
      <c r="D61" s="164">
        <v>16845751</v>
      </c>
      <c r="E61" s="164"/>
      <c r="F61" s="170">
        <f t="shared" si="8"/>
        <v>0</v>
      </c>
      <c r="G61" s="171">
        <f t="shared" si="9"/>
        <v>16845751</v>
      </c>
      <c r="H61" s="145"/>
      <c r="I61" s="145"/>
    </row>
    <row r="62" spans="1:9" ht="16.5" x14ac:dyDescent="0.3">
      <c r="A62" s="169">
        <v>14</v>
      </c>
      <c r="B62" s="163" t="s">
        <v>262</v>
      </c>
      <c r="C62" s="147">
        <v>159</v>
      </c>
      <c r="D62" s="164">
        <v>3594437</v>
      </c>
      <c r="E62" s="164">
        <f>3594437</f>
        <v>3594437</v>
      </c>
      <c r="F62" s="170">
        <f t="shared" si="8"/>
        <v>1</v>
      </c>
      <c r="G62" s="171">
        <f t="shared" si="9"/>
        <v>0</v>
      </c>
      <c r="H62" s="145"/>
      <c r="I62" s="145"/>
    </row>
    <row r="63" spans="1:9" ht="16.5" x14ac:dyDescent="0.3">
      <c r="A63" s="169"/>
      <c r="B63" s="159" t="s">
        <v>232</v>
      </c>
      <c r="C63" s="160">
        <f>SUM(C49:C62)</f>
        <v>5674</v>
      </c>
      <c r="D63" s="160">
        <f>SUM(D49:D62)</f>
        <v>114152773</v>
      </c>
      <c r="E63" s="160">
        <f>SUM(E49:E62)</f>
        <v>59077464</v>
      </c>
      <c r="F63" s="170">
        <f>E63/D63</f>
        <v>0.51752981944643606</v>
      </c>
      <c r="G63" s="172">
        <f>D63-E63</f>
        <v>55075309</v>
      </c>
      <c r="H63" s="145"/>
      <c r="I63" s="145"/>
    </row>
    <row r="64" spans="1:9" ht="16.5" x14ac:dyDescent="0.3">
      <c r="A64" s="173"/>
      <c r="B64" s="174"/>
      <c r="C64" s="175"/>
      <c r="D64" s="175"/>
      <c r="E64" s="175"/>
      <c r="F64" s="176"/>
      <c r="G64" s="177"/>
      <c r="H64" s="145"/>
      <c r="I64" s="145"/>
    </row>
    <row r="65" spans="1:9" ht="16.5" x14ac:dyDescent="0.3">
      <c r="A65" s="178"/>
      <c r="B65" s="179"/>
      <c r="C65" s="180"/>
      <c r="D65" s="180"/>
      <c r="E65" s="180"/>
      <c r="F65" s="181"/>
      <c r="G65" s="182"/>
      <c r="H65" s="145"/>
      <c r="I65" s="145"/>
    </row>
    <row r="66" spans="1:9" ht="16.5" x14ac:dyDescent="0.3">
      <c r="A66" s="178"/>
      <c r="B66" s="179"/>
      <c r="C66" s="180"/>
      <c r="D66" s="180"/>
      <c r="E66" s="180"/>
      <c r="F66" s="181"/>
      <c r="G66" s="182"/>
      <c r="H66" s="145"/>
      <c r="I66" s="145"/>
    </row>
    <row r="67" spans="1:9" ht="16.5" x14ac:dyDescent="0.3">
      <c r="A67" s="183"/>
      <c r="B67" s="184"/>
      <c r="C67" s="185"/>
      <c r="D67" s="185"/>
      <c r="E67" s="185"/>
      <c r="F67" s="186"/>
      <c r="G67" s="187"/>
      <c r="H67" s="145"/>
      <c r="I67" s="145"/>
    </row>
    <row r="68" spans="1:9" ht="16.5" x14ac:dyDescent="0.3">
      <c r="A68" s="291" t="s">
        <v>263</v>
      </c>
      <c r="B68" s="292"/>
      <c r="C68" s="292"/>
      <c r="D68" s="292"/>
      <c r="E68" s="292"/>
      <c r="F68" s="292"/>
      <c r="G68" s="293"/>
      <c r="H68" s="145"/>
      <c r="I68" s="145"/>
    </row>
    <row r="69" spans="1:9" s="155" customFormat="1" ht="16.5" x14ac:dyDescent="0.3">
      <c r="A69" s="188">
        <v>1</v>
      </c>
      <c r="B69" s="148" t="s">
        <v>264</v>
      </c>
      <c r="C69" s="149">
        <v>223</v>
      </c>
      <c r="D69" s="150">
        <v>3137258</v>
      </c>
      <c r="E69" s="150">
        <f>2077913+482180</f>
        <v>2560093</v>
      </c>
      <c r="F69" s="151">
        <f>E69/D69</f>
        <v>0.81602883792152259</v>
      </c>
      <c r="G69" s="152">
        <f>D69-E69</f>
        <v>577165</v>
      </c>
      <c r="H69" s="154"/>
      <c r="I69" s="154"/>
    </row>
    <row r="70" spans="1:9" ht="16.5" x14ac:dyDescent="0.3">
      <c r="A70" s="189">
        <v>2</v>
      </c>
      <c r="B70" s="163" t="s">
        <v>265</v>
      </c>
      <c r="C70" s="147">
        <v>674</v>
      </c>
      <c r="D70" s="164">
        <v>8054375</v>
      </c>
      <c r="E70" s="164">
        <f>1509859+100760+1009687</f>
        <v>2620306</v>
      </c>
      <c r="F70" s="151">
        <f t="shared" ref="F70:F84" si="10">E70/D70</f>
        <v>0.325327042756266</v>
      </c>
      <c r="G70" s="152">
        <f t="shared" ref="G70:G84" si="11">D70-E70</f>
        <v>5434069</v>
      </c>
      <c r="H70" s="145"/>
      <c r="I70" s="145"/>
    </row>
    <row r="71" spans="1:9" ht="16.5" x14ac:dyDescent="0.3">
      <c r="A71" s="189">
        <v>3</v>
      </c>
      <c r="B71" s="163" t="s">
        <v>266</v>
      </c>
      <c r="C71" s="147">
        <v>205</v>
      </c>
      <c r="D71" s="164">
        <v>2260098</v>
      </c>
      <c r="E71" s="164">
        <f>2260098</f>
        <v>2260098</v>
      </c>
      <c r="F71" s="151">
        <f t="shared" si="10"/>
        <v>1</v>
      </c>
      <c r="G71" s="152">
        <f t="shared" si="11"/>
        <v>0</v>
      </c>
      <c r="H71" s="145"/>
      <c r="I71" s="145"/>
    </row>
    <row r="72" spans="1:9" ht="16.5" x14ac:dyDescent="0.3">
      <c r="A72" s="189">
        <v>4</v>
      </c>
      <c r="B72" s="163" t="s">
        <v>267</v>
      </c>
      <c r="C72" s="147">
        <v>294</v>
      </c>
      <c r="D72" s="164">
        <v>2331698</v>
      </c>
      <c r="E72" s="164">
        <f>2331698</f>
        <v>2331698</v>
      </c>
      <c r="F72" s="151">
        <f t="shared" si="10"/>
        <v>1</v>
      </c>
      <c r="G72" s="152">
        <f t="shared" si="11"/>
        <v>0</v>
      </c>
      <c r="H72" s="145"/>
      <c r="I72" s="145"/>
    </row>
    <row r="73" spans="1:9" ht="18" customHeight="1" x14ac:dyDescent="0.3">
      <c r="A73" s="189">
        <v>5</v>
      </c>
      <c r="B73" s="163" t="s">
        <v>268</v>
      </c>
      <c r="C73" s="147">
        <v>92</v>
      </c>
      <c r="D73" s="164">
        <v>2773394</v>
      </c>
      <c r="E73" s="164">
        <f>2773394</f>
        <v>2773394</v>
      </c>
      <c r="F73" s="151">
        <f t="shared" si="10"/>
        <v>1</v>
      </c>
      <c r="G73" s="152">
        <f t="shared" si="11"/>
        <v>0</v>
      </c>
      <c r="H73" s="145"/>
      <c r="I73" s="145"/>
    </row>
    <row r="74" spans="1:9" ht="18" customHeight="1" x14ac:dyDescent="0.3">
      <c r="A74" s="189">
        <v>6</v>
      </c>
      <c r="B74" s="163" t="s">
        <v>269</v>
      </c>
      <c r="C74" s="147">
        <v>542</v>
      </c>
      <c r="D74" s="164">
        <v>7933875</v>
      </c>
      <c r="E74" s="164">
        <f>6000000</f>
        <v>6000000</v>
      </c>
      <c r="F74" s="151">
        <f t="shared" si="10"/>
        <v>0.75625088623150727</v>
      </c>
      <c r="G74" s="152">
        <f t="shared" si="11"/>
        <v>1933875</v>
      </c>
      <c r="H74" s="145"/>
      <c r="I74" s="145"/>
    </row>
    <row r="75" spans="1:9" ht="18" customHeight="1" x14ac:dyDescent="0.3">
      <c r="A75" s="189">
        <v>7</v>
      </c>
      <c r="B75" s="163" t="s">
        <v>270</v>
      </c>
      <c r="C75" s="147">
        <v>251</v>
      </c>
      <c r="D75" s="164">
        <v>3538697</v>
      </c>
      <c r="E75" s="164">
        <f>3538697</f>
        <v>3538697</v>
      </c>
      <c r="F75" s="151">
        <f t="shared" si="10"/>
        <v>1</v>
      </c>
      <c r="G75" s="152">
        <f t="shared" si="11"/>
        <v>0</v>
      </c>
      <c r="H75" s="145"/>
      <c r="I75" s="145"/>
    </row>
    <row r="76" spans="1:9" ht="18" customHeight="1" x14ac:dyDescent="0.3">
      <c r="A76" s="189">
        <v>8</v>
      </c>
      <c r="B76" s="163" t="s">
        <v>271</v>
      </c>
      <c r="C76" s="147">
        <v>178</v>
      </c>
      <c r="D76" s="164">
        <v>3073372</v>
      </c>
      <c r="E76" s="164">
        <f>2270397</f>
        <v>2270397</v>
      </c>
      <c r="F76" s="151">
        <f t="shared" si="10"/>
        <v>0.73873159513394404</v>
      </c>
      <c r="G76" s="152">
        <f t="shared" si="11"/>
        <v>802975</v>
      </c>
      <c r="H76" s="145"/>
      <c r="I76" s="145"/>
    </row>
    <row r="77" spans="1:9" ht="18" customHeight="1" x14ac:dyDescent="0.3">
      <c r="A77" s="189">
        <v>9</v>
      </c>
      <c r="B77" s="163" t="s">
        <v>272</v>
      </c>
      <c r="C77" s="147">
        <v>594</v>
      </c>
      <c r="D77" s="164">
        <v>9166903</v>
      </c>
      <c r="E77" s="164">
        <f>604554+6405970+996849</f>
        <v>8007373</v>
      </c>
      <c r="F77" s="151">
        <f t="shared" si="10"/>
        <v>0.87350907934773614</v>
      </c>
      <c r="G77" s="152">
        <f t="shared" si="11"/>
        <v>1159530</v>
      </c>
      <c r="H77" s="145"/>
      <c r="I77" s="145"/>
    </row>
    <row r="78" spans="1:9" ht="18" customHeight="1" x14ac:dyDescent="0.3">
      <c r="A78" s="189">
        <v>10</v>
      </c>
      <c r="B78" s="163" t="s">
        <v>273</v>
      </c>
      <c r="C78" s="147">
        <v>191</v>
      </c>
      <c r="D78" s="164">
        <v>1926427</v>
      </c>
      <c r="E78" s="164">
        <f>813312+1113115</f>
        <v>1926427</v>
      </c>
      <c r="F78" s="151">
        <f t="shared" si="10"/>
        <v>1</v>
      </c>
      <c r="G78" s="152">
        <f t="shared" si="11"/>
        <v>0</v>
      </c>
      <c r="H78" s="145"/>
      <c r="I78" s="145"/>
    </row>
    <row r="79" spans="1:9" ht="18" customHeight="1" x14ac:dyDescent="0.3">
      <c r="A79" s="189">
        <v>11</v>
      </c>
      <c r="B79" s="163" t="s">
        <v>274</v>
      </c>
      <c r="C79" s="147">
        <v>300</v>
      </c>
      <c r="D79" s="164">
        <v>3540347</v>
      </c>
      <c r="E79" s="164"/>
      <c r="F79" s="151">
        <f t="shared" si="10"/>
        <v>0</v>
      </c>
      <c r="G79" s="152">
        <f t="shared" si="11"/>
        <v>3540347</v>
      </c>
      <c r="H79" s="145"/>
      <c r="I79" s="145"/>
    </row>
    <row r="80" spans="1:9" ht="18" customHeight="1" x14ac:dyDescent="0.3">
      <c r="A80" s="189">
        <v>12</v>
      </c>
      <c r="B80" s="163" t="s">
        <v>275</v>
      </c>
      <c r="C80" s="147">
        <v>33</v>
      </c>
      <c r="D80" s="164">
        <v>1668985</v>
      </c>
      <c r="E80" s="164">
        <f>1668985</f>
        <v>1668985</v>
      </c>
      <c r="F80" s="151">
        <f t="shared" si="10"/>
        <v>1</v>
      </c>
      <c r="G80" s="152">
        <f t="shared" si="11"/>
        <v>0</v>
      </c>
      <c r="H80" s="145"/>
      <c r="I80" s="145"/>
    </row>
    <row r="81" spans="1:11" ht="18" customHeight="1" x14ac:dyDescent="0.3">
      <c r="A81" s="189">
        <v>13</v>
      </c>
      <c r="B81" s="163" t="s">
        <v>276</v>
      </c>
      <c r="C81" s="147">
        <v>251</v>
      </c>
      <c r="D81" s="164">
        <v>3006469</v>
      </c>
      <c r="E81" s="164">
        <f>3006469</f>
        <v>3006469</v>
      </c>
      <c r="F81" s="151">
        <f t="shared" si="10"/>
        <v>1</v>
      </c>
      <c r="G81" s="152">
        <f t="shared" si="11"/>
        <v>0</v>
      </c>
      <c r="H81" s="145"/>
      <c r="I81" s="145"/>
    </row>
    <row r="82" spans="1:11" ht="18" customHeight="1" x14ac:dyDescent="0.3">
      <c r="A82" s="189">
        <v>14</v>
      </c>
      <c r="B82" s="163" t="s">
        <v>277</v>
      </c>
      <c r="C82" s="147">
        <v>128</v>
      </c>
      <c r="D82" s="164">
        <v>2723891</v>
      </c>
      <c r="E82" s="164">
        <f>2723891</f>
        <v>2723891</v>
      </c>
      <c r="F82" s="151">
        <f t="shared" si="10"/>
        <v>1</v>
      </c>
      <c r="G82" s="152">
        <f t="shared" si="11"/>
        <v>0</v>
      </c>
      <c r="H82" s="145"/>
      <c r="I82" s="145"/>
    </row>
    <row r="83" spans="1:11" s="155" customFormat="1" ht="18" customHeight="1" x14ac:dyDescent="0.3">
      <c r="A83" s="188">
        <v>15</v>
      </c>
      <c r="B83" s="163" t="s">
        <v>278</v>
      </c>
      <c r="C83" s="147">
        <v>118</v>
      </c>
      <c r="D83" s="164">
        <v>1464336</v>
      </c>
      <c r="E83" s="164">
        <f>1464336</f>
        <v>1464336</v>
      </c>
      <c r="F83" s="151">
        <f t="shared" si="10"/>
        <v>1</v>
      </c>
      <c r="G83" s="152">
        <f t="shared" si="11"/>
        <v>0</v>
      </c>
      <c r="H83" s="154"/>
      <c r="I83" s="154"/>
    </row>
    <row r="84" spans="1:11" ht="18" customHeight="1" x14ac:dyDescent="0.3">
      <c r="A84" s="188"/>
      <c r="B84" s="159" t="s">
        <v>232</v>
      </c>
      <c r="C84" s="160">
        <f>SUM(C69:C83)</f>
        <v>4074</v>
      </c>
      <c r="D84" s="160">
        <f t="shared" ref="D84" si="12">SUM(D69:D83)</f>
        <v>56600125</v>
      </c>
      <c r="E84" s="160">
        <f>SUM(E69:E83)</f>
        <v>43152164</v>
      </c>
      <c r="F84" s="190">
        <f t="shared" si="10"/>
        <v>0.76240404062711875</v>
      </c>
      <c r="G84" s="161">
        <f t="shared" si="11"/>
        <v>13447961</v>
      </c>
      <c r="H84" s="154"/>
      <c r="I84" s="145"/>
    </row>
    <row r="85" spans="1:11" ht="18" customHeight="1" x14ac:dyDescent="0.3">
      <c r="A85" s="291" t="s">
        <v>279</v>
      </c>
      <c r="B85" s="292"/>
      <c r="C85" s="292"/>
      <c r="D85" s="292"/>
      <c r="E85" s="292"/>
      <c r="F85" s="292"/>
      <c r="G85" s="293"/>
      <c r="H85" s="154"/>
      <c r="I85" s="145"/>
    </row>
    <row r="86" spans="1:11" ht="18" customHeight="1" x14ac:dyDescent="0.3">
      <c r="A86" s="188">
        <v>1</v>
      </c>
      <c r="B86" s="148" t="s">
        <v>280</v>
      </c>
      <c r="C86" s="191">
        <v>365</v>
      </c>
      <c r="D86" s="150">
        <v>6450043</v>
      </c>
      <c r="E86" s="150">
        <f>3029525+94655+747147</f>
        <v>3871327</v>
      </c>
      <c r="F86" s="151">
        <f>E86/D86</f>
        <v>0.60020173508920793</v>
      </c>
      <c r="G86" s="150">
        <f>D86-E86</f>
        <v>2578716</v>
      </c>
      <c r="H86" s="154"/>
      <c r="I86" s="145"/>
    </row>
    <row r="87" spans="1:11" ht="18" customHeight="1" x14ac:dyDescent="0.3">
      <c r="A87" s="188">
        <v>2</v>
      </c>
      <c r="B87" s="163" t="s">
        <v>281</v>
      </c>
      <c r="C87" s="192">
        <v>398</v>
      </c>
      <c r="D87" s="164">
        <v>4852397</v>
      </c>
      <c r="E87" s="164">
        <f>1917020+2935377</f>
        <v>4852397</v>
      </c>
      <c r="F87" s="151">
        <f t="shared" ref="F87:F97" si="13">E87/D87</f>
        <v>1</v>
      </c>
      <c r="G87" s="150">
        <f t="shared" ref="G87:G97" si="14">D87-E87</f>
        <v>0</v>
      </c>
      <c r="H87" s="154"/>
      <c r="I87" s="145">
        <v>1200000</v>
      </c>
      <c r="J87" s="193">
        <f>G87</f>
        <v>0</v>
      </c>
      <c r="K87" s="193">
        <f>I87-J87</f>
        <v>1200000</v>
      </c>
    </row>
    <row r="88" spans="1:11" ht="18" customHeight="1" x14ac:dyDescent="0.3">
      <c r="A88" s="188">
        <v>3</v>
      </c>
      <c r="B88" s="163" t="s">
        <v>282</v>
      </c>
      <c r="C88" s="192">
        <v>227</v>
      </c>
      <c r="D88" s="164">
        <v>2334551</v>
      </c>
      <c r="E88" s="164">
        <f>2334551</f>
        <v>2334551</v>
      </c>
      <c r="F88" s="151">
        <f t="shared" si="13"/>
        <v>1</v>
      </c>
      <c r="G88" s="150">
        <f t="shared" si="14"/>
        <v>0</v>
      </c>
      <c r="H88" s="154"/>
      <c r="I88" s="145"/>
    </row>
    <row r="89" spans="1:11" ht="18" customHeight="1" x14ac:dyDescent="0.3">
      <c r="A89" s="188">
        <v>4</v>
      </c>
      <c r="B89" s="163" t="s">
        <v>283</v>
      </c>
      <c r="C89" s="192">
        <v>341</v>
      </c>
      <c r="D89" s="164">
        <v>8652405</v>
      </c>
      <c r="E89" s="164">
        <f>8652405</f>
        <v>8652405</v>
      </c>
      <c r="F89" s="151">
        <f t="shared" si="13"/>
        <v>1</v>
      </c>
      <c r="G89" s="150">
        <f t="shared" si="14"/>
        <v>0</v>
      </c>
      <c r="H89" s="154"/>
      <c r="I89" s="145"/>
    </row>
    <row r="90" spans="1:11" ht="18" customHeight="1" x14ac:dyDescent="0.3">
      <c r="A90" s="188">
        <v>5</v>
      </c>
      <c r="B90" s="163" t="s">
        <v>284</v>
      </c>
      <c r="C90" s="192">
        <v>411</v>
      </c>
      <c r="D90" s="164">
        <v>6903854</v>
      </c>
      <c r="E90" s="164">
        <f>6903854</f>
        <v>6903854</v>
      </c>
      <c r="F90" s="151">
        <f t="shared" si="13"/>
        <v>1</v>
      </c>
      <c r="G90" s="150">
        <f t="shared" si="14"/>
        <v>0</v>
      </c>
      <c r="H90" s="154"/>
      <c r="I90" s="145"/>
    </row>
    <row r="91" spans="1:11" ht="18" customHeight="1" x14ac:dyDescent="0.3">
      <c r="A91" s="188">
        <v>6</v>
      </c>
      <c r="B91" s="163" t="s">
        <v>285</v>
      </c>
      <c r="C91" s="192">
        <v>236</v>
      </c>
      <c r="D91" s="164">
        <v>7116786</v>
      </c>
      <c r="E91" s="164">
        <f>7116786</f>
        <v>7116786</v>
      </c>
      <c r="F91" s="151">
        <f t="shared" si="13"/>
        <v>1</v>
      </c>
      <c r="G91" s="150">
        <f t="shared" si="14"/>
        <v>0</v>
      </c>
      <c r="H91" s="154"/>
      <c r="I91" s="145"/>
    </row>
    <row r="92" spans="1:11" ht="18" customHeight="1" x14ac:dyDescent="0.3">
      <c r="A92" s="189">
        <v>7</v>
      </c>
      <c r="B92" s="163" t="s">
        <v>286</v>
      </c>
      <c r="C92" s="192">
        <v>330</v>
      </c>
      <c r="D92" s="164">
        <v>4061539</v>
      </c>
      <c r="E92" s="164">
        <f>4061539</f>
        <v>4061539</v>
      </c>
      <c r="F92" s="151">
        <f t="shared" si="13"/>
        <v>1</v>
      </c>
      <c r="G92" s="150">
        <f t="shared" si="14"/>
        <v>0</v>
      </c>
      <c r="H92" s="145"/>
      <c r="I92" s="145"/>
    </row>
    <row r="93" spans="1:11" ht="18" customHeight="1" x14ac:dyDescent="0.3">
      <c r="A93" s="189">
        <v>8</v>
      </c>
      <c r="B93" s="163" t="s">
        <v>287</v>
      </c>
      <c r="C93" s="192">
        <v>453</v>
      </c>
      <c r="D93" s="164">
        <v>7542848</v>
      </c>
      <c r="E93" s="164">
        <v>7542848</v>
      </c>
      <c r="F93" s="151">
        <f t="shared" si="13"/>
        <v>1</v>
      </c>
      <c r="G93" s="150">
        <f t="shared" si="14"/>
        <v>0</v>
      </c>
      <c r="H93" s="145"/>
      <c r="I93" s="145"/>
    </row>
    <row r="94" spans="1:11" ht="18" customHeight="1" x14ac:dyDescent="0.3">
      <c r="A94" s="189">
        <v>9</v>
      </c>
      <c r="B94" s="163" t="s">
        <v>288</v>
      </c>
      <c r="C94" s="192">
        <v>237</v>
      </c>
      <c r="D94" s="164">
        <v>5939089</v>
      </c>
      <c r="E94" s="164">
        <f>5770514+168575</f>
        <v>5939089</v>
      </c>
      <c r="F94" s="151">
        <f t="shared" si="13"/>
        <v>1</v>
      </c>
      <c r="G94" s="150">
        <f t="shared" si="14"/>
        <v>0</v>
      </c>
      <c r="H94" s="145"/>
      <c r="I94" s="145"/>
    </row>
    <row r="95" spans="1:11" ht="18" customHeight="1" x14ac:dyDescent="0.3">
      <c r="A95" s="189">
        <v>10</v>
      </c>
      <c r="B95" s="163" t="s">
        <v>289</v>
      </c>
      <c r="C95" s="192">
        <v>196</v>
      </c>
      <c r="D95" s="164">
        <v>3500088</v>
      </c>
      <c r="E95" s="164">
        <v>3500088</v>
      </c>
      <c r="F95" s="151">
        <f t="shared" si="13"/>
        <v>1</v>
      </c>
      <c r="G95" s="150">
        <f t="shared" si="14"/>
        <v>0</v>
      </c>
      <c r="H95" s="145"/>
      <c r="I95" s="145"/>
    </row>
    <row r="96" spans="1:11" ht="18" customHeight="1" x14ac:dyDescent="0.3">
      <c r="A96" s="189">
        <v>11</v>
      </c>
      <c r="B96" s="163" t="s">
        <v>290</v>
      </c>
      <c r="C96" s="192">
        <v>150</v>
      </c>
      <c r="D96" s="164">
        <v>1912394</v>
      </c>
      <c r="E96" s="164">
        <f>1912394</f>
        <v>1912394</v>
      </c>
      <c r="F96" s="151">
        <f t="shared" si="13"/>
        <v>1</v>
      </c>
      <c r="G96" s="150">
        <f t="shared" si="14"/>
        <v>0</v>
      </c>
      <c r="H96" s="145"/>
      <c r="I96" s="145"/>
    </row>
    <row r="97" spans="1:9" ht="18" customHeight="1" x14ac:dyDescent="0.3">
      <c r="A97" s="189"/>
      <c r="B97" s="194" t="s">
        <v>232</v>
      </c>
      <c r="C97" s="195">
        <f>SUM(C86:C96)</f>
        <v>3344</v>
      </c>
      <c r="D97" s="196">
        <f t="shared" ref="D97" si="15">SUM(D86:D96)</f>
        <v>59265994</v>
      </c>
      <c r="E97" s="196">
        <f>SUM(E86:E96)</f>
        <v>56687278</v>
      </c>
      <c r="F97" s="190">
        <f t="shared" si="13"/>
        <v>0.95648911245798052</v>
      </c>
      <c r="G97" s="160">
        <f t="shared" si="14"/>
        <v>2578716</v>
      </c>
      <c r="H97" s="145"/>
      <c r="I97" s="145"/>
    </row>
    <row r="98" spans="1:9" ht="18" customHeight="1" x14ac:dyDescent="0.3">
      <c r="A98" s="291" t="s">
        <v>291</v>
      </c>
      <c r="B98" s="292"/>
      <c r="C98" s="292"/>
      <c r="D98" s="292"/>
      <c r="E98" s="292"/>
      <c r="F98" s="292"/>
      <c r="G98" s="293"/>
      <c r="H98" s="145"/>
      <c r="I98" s="145"/>
    </row>
    <row r="99" spans="1:9" ht="16.5" x14ac:dyDescent="0.3">
      <c r="A99" s="189">
        <v>1</v>
      </c>
      <c r="B99" s="148" t="s">
        <v>292</v>
      </c>
      <c r="C99" s="150">
        <v>352</v>
      </c>
      <c r="D99" s="150">
        <v>7946374</v>
      </c>
      <c r="E99" s="150">
        <f>1466308+4026440+726733</f>
        <v>6219481</v>
      </c>
      <c r="F99" s="151">
        <f>E99/D99</f>
        <v>0.78268163567433402</v>
      </c>
      <c r="G99" s="150">
        <f>D99-E99</f>
        <v>1726893</v>
      </c>
      <c r="H99" s="145"/>
      <c r="I99" s="145"/>
    </row>
    <row r="100" spans="1:9" ht="16.5" x14ac:dyDescent="0.3">
      <c r="A100" s="189">
        <v>2</v>
      </c>
      <c r="B100" s="163" t="s">
        <v>293</v>
      </c>
      <c r="C100" s="164">
        <v>257</v>
      </c>
      <c r="D100" s="164">
        <v>4407833</v>
      </c>
      <c r="E100" s="164">
        <f>4407833</f>
        <v>4407833</v>
      </c>
      <c r="F100" s="151">
        <f t="shared" ref="F100:F112" si="16">E100/D100</f>
        <v>1</v>
      </c>
      <c r="G100" s="150">
        <f t="shared" ref="G100:G114" si="17">D100-E100</f>
        <v>0</v>
      </c>
      <c r="H100" s="145"/>
      <c r="I100" s="145"/>
    </row>
    <row r="101" spans="1:9" ht="16.5" x14ac:dyDescent="0.3">
      <c r="A101" s="189">
        <v>3</v>
      </c>
      <c r="B101" s="163" t="s">
        <v>294</v>
      </c>
      <c r="C101" s="164">
        <v>432</v>
      </c>
      <c r="D101" s="164">
        <v>11167123</v>
      </c>
      <c r="E101" s="164">
        <f>11167123</f>
        <v>11167123</v>
      </c>
      <c r="F101" s="151">
        <f t="shared" si="16"/>
        <v>1</v>
      </c>
      <c r="G101" s="150">
        <f t="shared" si="17"/>
        <v>0</v>
      </c>
      <c r="H101" s="145"/>
      <c r="I101" s="145"/>
    </row>
    <row r="102" spans="1:9" ht="16.5" x14ac:dyDescent="0.3">
      <c r="A102" s="189">
        <v>4</v>
      </c>
      <c r="B102" s="163" t="s">
        <v>295</v>
      </c>
      <c r="C102" s="164">
        <v>317</v>
      </c>
      <c r="D102" s="164">
        <v>6245412</v>
      </c>
      <c r="E102" s="164">
        <f>6245412</f>
        <v>6245412</v>
      </c>
      <c r="F102" s="151">
        <f t="shared" si="16"/>
        <v>1</v>
      </c>
      <c r="G102" s="150">
        <f t="shared" si="17"/>
        <v>0</v>
      </c>
      <c r="H102" s="145"/>
      <c r="I102" s="145"/>
    </row>
    <row r="103" spans="1:9" ht="16.5" customHeight="1" x14ac:dyDescent="0.3">
      <c r="A103" s="189">
        <v>5</v>
      </c>
      <c r="B103" s="163" t="s">
        <v>296</v>
      </c>
      <c r="C103" s="164">
        <v>314</v>
      </c>
      <c r="D103" s="164">
        <v>5263459</v>
      </c>
      <c r="E103" s="164">
        <f>911109+3872350+290468</f>
        <v>5073927</v>
      </c>
      <c r="F103" s="151">
        <f t="shared" si="16"/>
        <v>0.9639909800760299</v>
      </c>
      <c r="G103" s="150">
        <f t="shared" si="17"/>
        <v>189532</v>
      </c>
      <c r="H103" s="145"/>
      <c r="I103" s="145"/>
    </row>
    <row r="104" spans="1:9" ht="16.5" x14ac:dyDescent="0.3">
      <c r="A104" s="189">
        <v>6</v>
      </c>
      <c r="B104" s="163" t="s">
        <v>297</v>
      </c>
      <c r="C104" s="164">
        <v>719</v>
      </c>
      <c r="D104" s="164">
        <v>13051783</v>
      </c>
      <c r="E104" s="164">
        <v>13051783</v>
      </c>
      <c r="F104" s="151">
        <f t="shared" si="16"/>
        <v>1</v>
      </c>
      <c r="G104" s="150">
        <f t="shared" si="17"/>
        <v>0</v>
      </c>
      <c r="H104" s="145"/>
      <c r="I104" s="145"/>
    </row>
    <row r="105" spans="1:9" ht="16.5" x14ac:dyDescent="0.3">
      <c r="A105" s="197">
        <v>7</v>
      </c>
      <c r="B105" s="198" t="s">
        <v>298</v>
      </c>
      <c r="C105" s="199">
        <v>255</v>
      </c>
      <c r="D105" s="199">
        <v>4970465</v>
      </c>
      <c r="E105" s="199">
        <f>4970465</f>
        <v>4970465</v>
      </c>
      <c r="F105" s="151">
        <f t="shared" si="16"/>
        <v>1</v>
      </c>
      <c r="G105" s="150">
        <f t="shared" si="17"/>
        <v>0</v>
      </c>
      <c r="H105" s="145"/>
      <c r="I105" s="145"/>
    </row>
    <row r="106" spans="1:9" ht="16.5" x14ac:dyDescent="0.3">
      <c r="A106" s="189">
        <v>8</v>
      </c>
      <c r="B106" s="163" t="s">
        <v>299</v>
      </c>
      <c r="C106" s="164">
        <v>142</v>
      </c>
      <c r="D106" s="164">
        <v>3457660</v>
      </c>
      <c r="E106" s="164">
        <f>3457660</f>
        <v>3457660</v>
      </c>
      <c r="F106" s="151">
        <f t="shared" si="16"/>
        <v>1</v>
      </c>
      <c r="G106" s="150">
        <f t="shared" si="17"/>
        <v>0</v>
      </c>
      <c r="H106" s="145"/>
      <c r="I106" s="145"/>
    </row>
    <row r="107" spans="1:9" ht="16.5" x14ac:dyDescent="0.3">
      <c r="A107" s="189">
        <v>9</v>
      </c>
      <c r="B107" s="163" t="s">
        <v>300</v>
      </c>
      <c r="C107" s="164">
        <v>207</v>
      </c>
      <c r="D107" s="164">
        <v>4231983</v>
      </c>
      <c r="E107" s="164">
        <f>4231983</f>
        <v>4231983</v>
      </c>
      <c r="F107" s="151">
        <f t="shared" si="16"/>
        <v>1</v>
      </c>
      <c r="G107" s="150">
        <f t="shared" si="17"/>
        <v>0</v>
      </c>
      <c r="H107" s="165">
        <f>D107</f>
        <v>4231983</v>
      </c>
      <c r="I107" s="145"/>
    </row>
    <row r="108" spans="1:9" ht="16.5" x14ac:dyDescent="0.3">
      <c r="A108" s="189">
        <v>10</v>
      </c>
      <c r="B108" s="163" t="s">
        <v>301</v>
      </c>
      <c r="C108" s="164">
        <v>486</v>
      </c>
      <c r="D108" s="164">
        <v>8181886</v>
      </c>
      <c r="E108" s="164">
        <f>8181886</f>
        <v>8181886</v>
      </c>
      <c r="F108" s="151">
        <f t="shared" si="16"/>
        <v>1</v>
      </c>
      <c r="G108" s="150">
        <f t="shared" si="17"/>
        <v>0</v>
      </c>
      <c r="H108" s="145">
        <v>2237371</v>
      </c>
      <c r="I108" s="145"/>
    </row>
    <row r="109" spans="1:9" ht="16.5" x14ac:dyDescent="0.3">
      <c r="A109" s="189">
        <v>11</v>
      </c>
      <c r="B109" s="163" t="s">
        <v>302</v>
      </c>
      <c r="C109" s="164">
        <v>154</v>
      </c>
      <c r="D109" s="164">
        <v>2942428</v>
      </c>
      <c r="E109" s="164">
        <f>2942428</f>
        <v>2942428</v>
      </c>
      <c r="F109" s="151">
        <f t="shared" si="16"/>
        <v>1</v>
      </c>
      <c r="G109" s="150">
        <f t="shared" si="17"/>
        <v>0</v>
      </c>
      <c r="H109" s="165">
        <f>H107+H108</f>
        <v>6469354</v>
      </c>
      <c r="I109" s="165"/>
    </row>
    <row r="110" spans="1:9" ht="16.5" x14ac:dyDescent="0.3">
      <c r="A110" s="189">
        <v>12</v>
      </c>
      <c r="B110" s="163" t="s">
        <v>303</v>
      </c>
      <c r="C110" s="164">
        <v>157</v>
      </c>
      <c r="D110" s="164">
        <v>3015429</v>
      </c>
      <c r="E110" s="164">
        <f>2780245</f>
        <v>2780245</v>
      </c>
      <c r="F110" s="151">
        <f t="shared" si="16"/>
        <v>0.92200645413969284</v>
      </c>
      <c r="G110" s="150">
        <f t="shared" si="17"/>
        <v>235184</v>
      </c>
      <c r="H110" s="165">
        <f>E34</f>
        <v>4912670</v>
      </c>
      <c r="I110" s="165"/>
    </row>
    <row r="111" spans="1:9" ht="16.5" x14ac:dyDescent="0.3">
      <c r="A111" s="189">
        <v>13</v>
      </c>
      <c r="B111" s="163" t="s">
        <v>304</v>
      </c>
      <c r="C111" s="164">
        <v>136</v>
      </c>
      <c r="D111" s="164">
        <v>2377883</v>
      </c>
      <c r="E111" s="164">
        <f>2377883</f>
        <v>2377883</v>
      </c>
      <c r="F111" s="151">
        <f t="shared" si="16"/>
        <v>1</v>
      </c>
      <c r="G111" s="150">
        <f t="shared" si="17"/>
        <v>0</v>
      </c>
      <c r="H111" s="165">
        <f>H109+H110</f>
        <v>11382024</v>
      </c>
      <c r="I111" s="165"/>
    </row>
    <row r="112" spans="1:9" ht="16.5" x14ac:dyDescent="0.3">
      <c r="A112" s="189"/>
      <c r="B112" s="194" t="s">
        <v>232</v>
      </c>
      <c r="C112" s="196">
        <f>SUM(C99:C111)</f>
        <v>3928</v>
      </c>
      <c r="D112" s="196">
        <f t="shared" ref="D112" si="18">SUM(D99:D111)</f>
        <v>77259718</v>
      </c>
      <c r="E112" s="196">
        <f>SUM(E99:E111)</f>
        <v>75108109</v>
      </c>
      <c r="F112" s="190">
        <f t="shared" si="16"/>
        <v>0.97215095970192389</v>
      </c>
      <c r="G112" s="160">
        <f t="shared" si="17"/>
        <v>2151609</v>
      </c>
      <c r="H112" s="145">
        <v>1661500</v>
      </c>
      <c r="I112" s="145"/>
    </row>
    <row r="113" spans="1:9" ht="16.5" x14ac:dyDescent="0.3">
      <c r="A113" s="189"/>
      <c r="B113" s="163"/>
      <c r="C113" s="164"/>
      <c r="D113" s="164"/>
      <c r="E113" s="164"/>
      <c r="F113" s="151"/>
      <c r="G113" s="150"/>
      <c r="H113" s="165">
        <f>H111+H112</f>
        <v>13043524</v>
      </c>
      <c r="I113" s="145"/>
    </row>
    <row r="114" spans="1:9" ht="16.5" x14ac:dyDescent="0.3">
      <c r="A114" s="189"/>
      <c r="B114" s="194" t="s">
        <v>305</v>
      </c>
      <c r="C114" s="196">
        <f>SUM(C31+C47+C63+C84+C97+C112)</f>
        <v>29166</v>
      </c>
      <c r="D114" s="196">
        <f>SUM(D31+D47+D63+D84+D97+D112)</f>
        <v>538868379</v>
      </c>
      <c r="E114" s="196">
        <f>SUM(E31+E47+E63+E84+E97+E112)</f>
        <v>434168409</v>
      </c>
      <c r="F114" s="190">
        <f>E114/D114</f>
        <v>0.80570400105069073</v>
      </c>
      <c r="G114" s="160">
        <f t="shared" si="17"/>
        <v>104699970</v>
      </c>
      <c r="H114" s="145"/>
      <c r="I114" s="145"/>
    </row>
    <row r="115" spans="1:9" ht="18" customHeight="1" x14ac:dyDescent="0.3">
      <c r="A115" s="145"/>
      <c r="B115" s="145"/>
      <c r="C115" s="200"/>
      <c r="D115" s="200"/>
      <c r="E115" s="201"/>
      <c r="F115" s="201"/>
      <c r="G115" s="200"/>
      <c r="H115" s="145"/>
      <c r="I115" s="145"/>
    </row>
    <row r="116" spans="1:9" ht="16.5" x14ac:dyDescent="0.3">
      <c r="A116" s="145"/>
      <c r="B116" s="145"/>
      <c r="C116" s="294" t="s">
        <v>306</v>
      </c>
      <c r="D116" s="294"/>
      <c r="E116" s="294"/>
      <c r="F116" s="294"/>
      <c r="G116" s="294"/>
      <c r="H116" s="294"/>
      <c r="I116" s="294"/>
    </row>
    <row r="117" spans="1:9" ht="16.5" x14ac:dyDescent="0.3">
      <c r="A117" s="145"/>
      <c r="B117" s="145"/>
      <c r="C117" s="294" t="s">
        <v>307</v>
      </c>
      <c r="D117" s="294"/>
      <c r="E117" s="294"/>
      <c r="F117" s="294"/>
      <c r="G117" s="294"/>
      <c r="H117" s="294"/>
      <c r="I117" s="294"/>
    </row>
    <row r="118" spans="1:9" ht="16.5" x14ac:dyDescent="0.3">
      <c r="A118" s="145"/>
      <c r="B118" s="145"/>
      <c r="C118" s="145"/>
      <c r="D118" s="145"/>
      <c r="E118" s="153"/>
      <c r="F118" s="153"/>
      <c r="G118" s="145"/>
      <c r="H118" s="145"/>
      <c r="I118" s="153"/>
    </row>
    <row r="119" spans="1:9" ht="16.5" x14ac:dyDescent="0.3">
      <c r="A119" s="145"/>
      <c r="B119" s="145"/>
      <c r="C119" s="145"/>
      <c r="D119" s="145"/>
      <c r="E119" s="153"/>
      <c r="F119" s="153"/>
      <c r="G119" s="145"/>
      <c r="H119" s="145"/>
      <c r="I119" s="153"/>
    </row>
    <row r="120" spans="1:9" ht="16.5" x14ac:dyDescent="0.3">
      <c r="A120" s="145"/>
      <c r="B120" s="145"/>
      <c r="C120" s="145"/>
      <c r="D120" s="145"/>
      <c r="E120" s="153"/>
      <c r="F120" s="153"/>
      <c r="G120" s="145"/>
      <c r="H120" s="145"/>
      <c r="I120" s="153"/>
    </row>
    <row r="121" spans="1:9" ht="16.5" x14ac:dyDescent="0.3">
      <c r="A121" s="145"/>
      <c r="B121" s="145"/>
      <c r="C121" s="295" t="s">
        <v>308</v>
      </c>
      <c r="D121" s="295"/>
      <c r="E121" s="295"/>
      <c r="F121" s="295"/>
      <c r="G121" s="295"/>
      <c r="H121" s="295"/>
      <c r="I121" s="295"/>
    </row>
    <row r="122" spans="1:9" ht="16.5" x14ac:dyDescent="0.3">
      <c r="A122" s="145"/>
      <c r="B122" s="145"/>
      <c r="C122" s="294" t="s">
        <v>309</v>
      </c>
      <c r="D122" s="294"/>
      <c r="E122" s="294"/>
      <c r="F122" s="294"/>
      <c r="G122" s="294"/>
      <c r="H122" s="294"/>
      <c r="I122" s="294"/>
    </row>
    <row r="123" spans="1:9" ht="16.5" x14ac:dyDescent="0.3">
      <c r="A123" s="145"/>
      <c r="B123" s="145"/>
      <c r="C123" s="294" t="s">
        <v>310</v>
      </c>
      <c r="D123" s="294"/>
      <c r="E123" s="294"/>
      <c r="F123" s="294"/>
      <c r="G123" s="294"/>
      <c r="H123" s="294"/>
      <c r="I123" s="294"/>
    </row>
    <row r="124" spans="1:9" ht="18" customHeight="1" x14ac:dyDescent="0.3">
      <c r="A124" s="202"/>
      <c r="B124" s="202"/>
      <c r="C124" s="203"/>
      <c r="D124" s="203"/>
      <c r="E124" s="204"/>
      <c r="F124" s="204"/>
      <c r="G124" s="203"/>
      <c r="H124" s="205"/>
      <c r="I124" s="205"/>
    </row>
    <row r="125" spans="1:9" ht="16.5" x14ac:dyDescent="0.3">
      <c r="A125" s="290"/>
      <c r="B125" s="290"/>
      <c r="C125" s="290"/>
      <c r="D125" s="206"/>
      <c r="E125" s="207"/>
      <c r="F125" s="207"/>
      <c r="G125" s="208"/>
    </row>
    <row r="126" spans="1:9" ht="16.5" x14ac:dyDescent="0.3">
      <c r="A126" s="209"/>
      <c r="B126" s="210"/>
      <c r="C126" s="206"/>
      <c r="D126" s="206"/>
      <c r="E126" s="211"/>
      <c r="F126" s="211"/>
      <c r="G126" s="206"/>
    </row>
    <row r="127" spans="1:9" ht="18" customHeight="1" x14ac:dyDescent="0.3">
      <c r="A127" s="210"/>
      <c r="B127" s="210"/>
      <c r="C127" s="206"/>
      <c r="D127" s="206"/>
      <c r="E127" s="211"/>
      <c r="F127" s="211"/>
      <c r="G127" s="206"/>
    </row>
    <row r="128" spans="1:9" ht="18" customHeight="1" x14ac:dyDescent="0.3">
      <c r="A128" s="210"/>
      <c r="B128" s="210"/>
      <c r="C128" s="206"/>
      <c r="D128" s="206"/>
      <c r="E128" s="211"/>
      <c r="F128" s="211"/>
      <c r="G128" s="206"/>
    </row>
    <row r="129" spans="1:7" ht="18" customHeight="1" x14ac:dyDescent="0.3">
      <c r="A129" s="210"/>
      <c r="B129" s="210"/>
      <c r="C129" s="206"/>
      <c r="D129" s="206"/>
      <c r="E129" s="211"/>
      <c r="F129" s="211"/>
      <c r="G129" s="206"/>
    </row>
    <row r="130" spans="1:7" ht="18" customHeight="1" x14ac:dyDescent="0.3">
      <c r="A130" s="210"/>
      <c r="B130" s="210"/>
      <c r="C130" s="206"/>
      <c r="D130" s="206"/>
      <c r="E130" s="211"/>
      <c r="F130" s="211"/>
      <c r="G130" s="206"/>
    </row>
    <row r="131" spans="1:7" ht="18" customHeight="1" x14ac:dyDescent="0.3">
      <c r="A131" s="210"/>
      <c r="B131" s="210"/>
      <c r="C131" s="206"/>
      <c r="D131" s="206"/>
      <c r="E131" s="211"/>
      <c r="F131" s="211"/>
      <c r="G131" s="206"/>
    </row>
    <row r="132" spans="1:7" ht="18" customHeight="1" x14ac:dyDescent="0.3">
      <c r="A132" s="210"/>
      <c r="B132" s="210"/>
      <c r="C132" s="206"/>
      <c r="D132" s="206"/>
      <c r="E132" s="211"/>
      <c r="F132" s="211"/>
      <c r="G132" s="206"/>
    </row>
    <row r="133" spans="1:7" ht="18" customHeight="1" x14ac:dyDescent="0.3">
      <c r="A133" s="210"/>
      <c r="B133" s="210"/>
      <c r="C133" s="206"/>
      <c r="D133" s="206"/>
      <c r="E133" s="211"/>
      <c r="F133" s="211"/>
      <c r="G133" s="206"/>
    </row>
    <row r="134" spans="1:7" ht="18" customHeight="1" x14ac:dyDescent="0.3">
      <c r="A134" s="210"/>
      <c r="B134" s="210"/>
      <c r="C134" s="206"/>
      <c r="D134" s="206"/>
      <c r="E134" s="211"/>
      <c r="F134" s="211"/>
      <c r="G134" s="206"/>
    </row>
  </sheetData>
  <mergeCells count="22">
    <mergeCell ref="A85:G85"/>
    <mergeCell ref="A1:G1"/>
    <mergeCell ref="A2:G2"/>
    <mergeCell ref="A3:G3"/>
    <mergeCell ref="A5:A6"/>
    <mergeCell ref="B5:B6"/>
    <mergeCell ref="C5:C6"/>
    <mergeCell ref="D5:D6"/>
    <mergeCell ref="E5:E6"/>
    <mergeCell ref="G5:G6"/>
    <mergeCell ref="H5:H6"/>
    <mergeCell ref="A7:G7"/>
    <mergeCell ref="A32:G32"/>
    <mergeCell ref="A48:G48"/>
    <mergeCell ref="A68:G68"/>
    <mergeCell ref="A125:C125"/>
    <mergeCell ref="A98:G98"/>
    <mergeCell ref="C116:I116"/>
    <mergeCell ref="C117:I117"/>
    <mergeCell ref="C121:I121"/>
    <mergeCell ref="C122:I122"/>
    <mergeCell ref="C123:I123"/>
  </mergeCells>
  <pageMargins left="0.7" right="0.7" top="0.75" bottom="0.75" header="0.3" footer="0.3"/>
  <pageSetup paperSize="5" scale="85" orientation="portrait" horizontalDpi="360" verticalDpi="36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5:H105"/>
  <sheetViews>
    <sheetView topLeftCell="A29" workbookViewId="0">
      <selection activeCell="H49" sqref="H49"/>
    </sheetView>
  </sheetViews>
  <sheetFormatPr defaultRowHeight="15" x14ac:dyDescent="0.25"/>
  <cols>
    <col min="6" max="6" width="13.5703125" customWidth="1"/>
    <col min="7" max="7" width="10.140625" bestFit="1" customWidth="1"/>
    <col min="8" max="8" width="16.28515625" customWidth="1"/>
  </cols>
  <sheetData>
    <row r="5" spans="5:8" x14ac:dyDescent="0.25">
      <c r="E5" s="125"/>
    </row>
    <row r="6" spans="5:8" ht="79.5" thickBot="1" x14ac:dyDescent="0.3">
      <c r="E6" s="126" t="s">
        <v>181</v>
      </c>
    </row>
    <row r="7" spans="5:8" ht="15.75" thickBot="1" x14ac:dyDescent="0.3">
      <c r="E7" s="120" t="s">
        <v>172</v>
      </c>
      <c r="F7" s="121" t="s">
        <v>173</v>
      </c>
      <c r="G7" s="121" t="s">
        <v>174</v>
      </c>
      <c r="H7" s="121" t="s">
        <v>175</v>
      </c>
    </row>
    <row r="8" spans="5:8" ht="15.75" thickBot="1" x14ac:dyDescent="0.3">
      <c r="E8" s="122">
        <v>1</v>
      </c>
      <c r="F8" s="123" t="s">
        <v>78</v>
      </c>
      <c r="G8" s="124">
        <v>1202441</v>
      </c>
      <c r="H8" s="124">
        <v>1202441</v>
      </c>
    </row>
    <row r="9" spans="5:8" ht="15.75" thickBot="1" x14ac:dyDescent="0.3">
      <c r="E9" s="122">
        <v>2</v>
      </c>
      <c r="F9" s="123" t="s">
        <v>77</v>
      </c>
      <c r="G9" s="124">
        <v>1367187</v>
      </c>
      <c r="H9" s="124">
        <v>1367187</v>
      </c>
    </row>
    <row r="10" spans="5:8" ht="15.75" thickBot="1" x14ac:dyDescent="0.3">
      <c r="E10" s="122">
        <v>3</v>
      </c>
      <c r="F10" s="123" t="s">
        <v>176</v>
      </c>
      <c r="G10" s="124">
        <v>4021230</v>
      </c>
      <c r="H10" s="124">
        <v>3876648</v>
      </c>
    </row>
    <row r="11" spans="5:8" ht="15.75" thickBot="1" x14ac:dyDescent="0.3">
      <c r="E11" s="122">
        <v>4</v>
      </c>
      <c r="F11" s="123" t="s">
        <v>150</v>
      </c>
      <c r="G11" s="124">
        <v>6660671</v>
      </c>
      <c r="H11" s="124">
        <v>6660671</v>
      </c>
    </row>
    <row r="12" spans="5:8" ht="15.75" thickBot="1" x14ac:dyDescent="0.3">
      <c r="E12" s="122">
        <v>5</v>
      </c>
      <c r="F12" s="123" t="s">
        <v>74</v>
      </c>
      <c r="G12" s="124">
        <v>5902222</v>
      </c>
      <c r="H12" s="124">
        <v>5902222</v>
      </c>
    </row>
    <row r="13" spans="5:8" ht="15.75" thickBot="1" x14ac:dyDescent="0.3">
      <c r="E13" s="122">
        <v>6</v>
      </c>
      <c r="F13" s="123" t="s">
        <v>72</v>
      </c>
      <c r="G13" s="124">
        <v>4981680</v>
      </c>
      <c r="H13" s="124">
        <v>4904965</v>
      </c>
    </row>
    <row r="14" spans="5:8" ht="15.75" thickBot="1" x14ac:dyDescent="0.3">
      <c r="E14" s="122">
        <v>7</v>
      </c>
      <c r="F14" s="123" t="s">
        <v>177</v>
      </c>
      <c r="G14" s="124">
        <v>11690874</v>
      </c>
      <c r="H14" s="124">
        <v>11690874</v>
      </c>
    </row>
    <row r="15" spans="5:8" ht="15.75" thickBot="1" x14ac:dyDescent="0.3">
      <c r="E15" s="122">
        <v>8</v>
      </c>
      <c r="F15" s="123" t="s">
        <v>73</v>
      </c>
      <c r="G15" s="124">
        <v>9667151</v>
      </c>
      <c r="H15" s="124">
        <v>9667151</v>
      </c>
    </row>
    <row r="16" spans="5:8" ht="15.75" thickBot="1" x14ac:dyDescent="0.3">
      <c r="E16" s="122">
        <v>9</v>
      </c>
      <c r="F16" s="123" t="s">
        <v>71</v>
      </c>
      <c r="G16" s="124">
        <v>10678980</v>
      </c>
      <c r="H16" s="124">
        <v>10678980</v>
      </c>
    </row>
    <row r="17" spans="5:8" ht="15.75" thickBot="1" x14ac:dyDescent="0.3">
      <c r="E17" s="122">
        <v>10</v>
      </c>
      <c r="F17" s="123" t="s">
        <v>75</v>
      </c>
      <c r="G17" s="124">
        <v>7613126</v>
      </c>
      <c r="H17" s="124">
        <v>7613126</v>
      </c>
    </row>
    <row r="18" spans="5:8" ht="15.75" thickBot="1" x14ac:dyDescent="0.3">
      <c r="E18" s="122">
        <v>11</v>
      </c>
      <c r="F18" s="123" t="s">
        <v>178</v>
      </c>
      <c r="G18" s="124">
        <v>9393993</v>
      </c>
      <c r="H18" s="124">
        <v>9393993</v>
      </c>
    </row>
    <row r="19" spans="5:8" ht="30.75" thickBot="1" x14ac:dyDescent="0.3">
      <c r="E19" s="122">
        <v>12</v>
      </c>
      <c r="F19" s="123" t="s">
        <v>179</v>
      </c>
      <c r="G19" s="124">
        <v>7757332</v>
      </c>
      <c r="H19" s="124">
        <v>7757332</v>
      </c>
    </row>
    <row r="20" spans="5:8" ht="15.75" thickBot="1" x14ac:dyDescent="0.3">
      <c r="E20" s="122">
        <v>13</v>
      </c>
      <c r="F20" s="123" t="s">
        <v>80</v>
      </c>
      <c r="G20" s="124">
        <v>3899467</v>
      </c>
      <c r="H20" s="124">
        <v>3899467</v>
      </c>
    </row>
    <row r="21" spans="5:8" ht="15.75" thickBot="1" x14ac:dyDescent="0.3">
      <c r="E21" s="122">
        <v>14</v>
      </c>
      <c r="F21" s="123" t="s">
        <v>79</v>
      </c>
      <c r="G21" s="124">
        <v>2266671</v>
      </c>
      <c r="H21" s="124">
        <v>2266671</v>
      </c>
    </row>
    <row r="22" spans="5:8" ht="30.75" thickBot="1" x14ac:dyDescent="0.3">
      <c r="E22" s="122">
        <v>15</v>
      </c>
      <c r="F22" s="123" t="s">
        <v>180</v>
      </c>
      <c r="G22" s="124">
        <v>1710708</v>
      </c>
      <c r="H22" s="124">
        <v>1710708</v>
      </c>
    </row>
    <row r="23" spans="5:8" ht="15.75" thickBot="1" x14ac:dyDescent="0.3">
      <c r="E23" s="122">
        <v>16</v>
      </c>
      <c r="F23" s="123" t="s">
        <v>76</v>
      </c>
      <c r="G23" s="124">
        <v>5365343</v>
      </c>
      <c r="H23" s="124">
        <v>5365343</v>
      </c>
    </row>
    <row r="24" spans="5:8" ht="15.75" x14ac:dyDescent="0.25">
      <c r="E24" s="126"/>
    </row>
    <row r="25" spans="5:8" ht="95.25" thickBot="1" x14ac:dyDescent="0.3">
      <c r="E25" s="126" t="s">
        <v>182</v>
      </c>
    </row>
    <row r="26" spans="5:8" ht="15.75" thickBot="1" x14ac:dyDescent="0.3">
      <c r="E26" s="120" t="s">
        <v>172</v>
      </c>
      <c r="F26" s="121" t="s">
        <v>173</v>
      </c>
      <c r="G26" s="121" t="s">
        <v>174</v>
      </c>
      <c r="H26" s="121" t="s">
        <v>175</v>
      </c>
    </row>
    <row r="27" spans="5:8" ht="15.75" thickBot="1" x14ac:dyDescent="0.3">
      <c r="E27" s="122">
        <v>1</v>
      </c>
      <c r="F27" s="123" t="s">
        <v>102</v>
      </c>
      <c r="G27" s="127">
        <v>3473721</v>
      </c>
      <c r="H27" s="127">
        <v>3473721</v>
      </c>
    </row>
    <row r="28" spans="5:8" ht="30.75" thickBot="1" x14ac:dyDescent="0.3">
      <c r="E28" s="122">
        <v>2</v>
      </c>
      <c r="F28" s="123" t="s">
        <v>103</v>
      </c>
      <c r="G28" s="127">
        <v>8520214</v>
      </c>
      <c r="H28" s="127">
        <v>5110934</v>
      </c>
    </row>
    <row r="29" spans="5:8" ht="30.75" thickBot="1" x14ac:dyDescent="0.3">
      <c r="E29" s="122">
        <v>3</v>
      </c>
      <c r="F29" s="123" t="s">
        <v>183</v>
      </c>
      <c r="G29" s="127">
        <v>14301950</v>
      </c>
      <c r="H29" s="127">
        <v>14301950</v>
      </c>
    </row>
    <row r="30" spans="5:8" ht="30.75" thickBot="1" x14ac:dyDescent="0.3">
      <c r="E30" s="122">
        <v>4</v>
      </c>
      <c r="F30" s="123" t="s">
        <v>105</v>
      </c>
      <c r="G30" s="127">
        <v>3596831</v>
      </c>
      <c r="H30" s="127">
        <v>3596831</v>
      </c>
    </row>
    <row r="31" spans="5:8" ht="30.75" thickBot="1" x14ac:dyDescent="0.3">
      <c r="E31" s="122">
        <v>5</v>
      </c>
      <c r="F31" s="123" t="s">
        <v>106</v>
      </c>
      <c r="G31" s="127">
        <v>10549877</v>
      </c>
      <c r="H31" s="127">
        <v>10549877</v>
      </c>
    </row>
    <row r="32" spans="5:8" ht="30.75" thickBot="1" x14ac:dyDescent="0.3">
      <c r="E32" s="122">
        <v>6</v>
      </c>
      <c r="F32" s="123" t="s">
        <v>107</v>
      </c>
      <c r="G32" s="127">
        <v>5335495</v>
      </c>
      <c r="H32" s="127">
        <v>2225159</v>
      </c>
    </row>
    <row r="33" spans="5:8" ht="30.75" thickBot="1" x14ac:dyDescent="0.3">
      <c r="E33" s="122">
        <v>7</v>
      </c>
      <c r="F33" s="123" t="s">
        <v>153</v>
      </c>
      <c r="G33" s="127">
        <v>15560256</v>
      </c>
      <c r="H33" s="127">
        <v>15560256</v>
      </c>
    </row>
    <row r="34" spans="5:8" ht="15.75" thickBot="1" x14ac:dyDescent="0.3">
      <c r="E34" s="122">
        <v>8</v>
      </c>
      <c r="F34" s="123" t="s">
        <v>154</v>
      </c>
      <c r="G34" s="127">
        <v>7260000</v>
      </c>
      <c r="H34" s="127">
        <v>5795375</v>
      </c>
    </row>
    <row r="35" spans="5:8" ht="15.75" thickBot="1" x14ac:dyDescent="0.3">
      <c r="E35" s="122">
        <v>9</v>
      </c>
      <c r="F35" s="123" t="s">
        <v>108</v>
      </c>
      <c r="G35" s="127">
        <v>7745303</v>
      </c>
      <c r="H35" s="127">
        <v>3172577</v>
      </c>
    </row>
    <row r="36" spans="5:8" ht="15.75" thickBot="1" x14ac:dyDescent="0.3">
      <c r="E36" s="122">
        <v>10</v>
      </c>
      <c r="F36" s="123" t="s">
        <v>113</v>
      </c>
      <c r="G36" s="127">
        <v>5173340</v>
      </c>
      <c r="H36" s="127">
        <v>5173340</v>
      </c>
    </row>
    <row r="37" spans="5:8" ht="15.75" thickBot="1" x14ac:dyDescent="0.3">
      <c r="E37" s="122">
        <v>11</v>
      </c>
      <c r="F37" s="123" t="s">
        <v>109</v>
      </c>
      <c r="G37" s="127">
        <v>1569179</v>
      </c>
      <c r="H37" s="127">
        <v>1569179</v>
      </c>
    </row>
    <row r="38" spans="5:8" ht="15.75" thickBot="1" x14ac:dyDescent="0.3">
      <c r="E38" s="122">
        <v>12</v>
      </c>
      <c r="F38" s="123" t="s">
        <v>110</v>
      </c>
      <c r="G38" s="127">
        <v>9323981</v>
      </c>
      <c r="H38" s="127">
        <v>2424104</v>
      </c>
    </row>
    <row r="39" spans="5:8" ht="15.75" thickBot="1" x14ac:dyDescent="0.3">
      <c r="E39" s="122">
        <v>13</v>
      </c>
      <c r="F39" s="123" t="s">
        <v>111</v>
      </c>
      <c r="G39" s="127">
        <v>8379286</v>
      </c>
      <c r="H39" s="127">
        <v>3304140</v>
      </c>
    </row>
    <row r="40" spans="5:8" ht="15.75" thickBot="1" x14ac:dyDescent="0.3">
      <c r="E40" s="122">
        <v>14</v>
      </c>
      <c r="F40" s="123" t="s">
        <v>112</v>
      </c>
      <c r="G40" s="127">
        <v>10115946</v>
      </c>
      <c r="H40" s="127">
        <v>9696196</v>
      </c>
    </row>
    <row r="41" spans="5:8" x14ac:dyDescent="0.25">
      <c r="E41" s="125"/>
    </row>
    <row r="42" spans="5:8" ht="75.75" thickBot="1" x14ac:dyDescent="0.3">
      <c r="E42" s="128" t="s">
        <v>184</v>
      </c>
    </row>
    <row r="43" spans="5:8" ht="15.75" thickBot="1" x14ac:dyDescent="0.3">
      <c r="E43" s="120" t="s">
        <v>172</v>
      </c>
      <c r="F43" s="121" t="s">
        <v>173</v>
      </c>
      <c r="G43" s="121" t="s">
        <v>174</v>
      </c>
      <c r="H43" s="121" t="s">
        <v>175</v>
      </c>
    </row>
    <row r="44" spans="5:8" ht="15.75" thickBot="1" x14ac:dyDescent="0.3">
      <c r="E44" s="122">
        <v>1</v>
      </c>
      <c r="F44" s="123" t="s">
        <v>185</v>
      </c>
      <c r="G44" s="127">
        <v>9454719</v>
      </c>
      <c r="H44" s="127">
        <v>9454719</v>
      </c>
    </row>
    <row r="45" spans="5:8" ht="15.75" thickBot="1" x14ac:dyDescent="0.3">
      <c r="E45" s="122">
        <v>2</v>
      </c>
      <c r="F45" s="123" t="s">
        <v>119</v>
      </c>
      <c r="G45" s="127">
        <v>3868469</v>
      </c>
      <c r="H45" s="127">
        <v>3868469</v>
      </c>
    </row>
    <row r="46" spans="5:8" ht="15.75" thickBot="1" x14ac:dyDescent="0.3">
      <c r="E46" s="122">
        <v>3</v>
      </c>
      <c r="F46" s="123" t="s">
        <v>186</v>
      </c>
      <c r="G46" s="127">
        <v>4963346</v>
      </c>
      <c r="H46" s="127">
        <v>4963346</v>
      </c>
    </row>
    <row r="47" spans="5:8" ht="15.75" thickBot="1" x14ac:dyDescent="0.3">
      <c r="E47" s="122">
        <v>4</v>
      </c>
      <c r="F47" s="123" t="s">
        <v>187</v>
      </c>
      <c r="G47" s="127">
        <v>10289155</v>
      </c>
      <c r="H47" s="127">
        <v>10289155</v>
      </c>
    </row>
    <row r="48" spans="5:8" ht="15.75" thickBot="1" x14ac:dyDescent="0.3">
      <c r="E48" s="122">
        <v>5</v>
      </c>
      <c r="F48" s="123" t="s">
        <v>118</v>
      </c>
      <c r="G48" s="127">
        <v>4686761</v>
      </c>
      <c r="H48" s="123">
        <v>0</v>
      </c>
    </row>
    <row r="49" spans="5:8" ht="15.75" thickBot="1" x14ac:dyDescent="0.3">
      <c r="E49" s="122">
        <v>6</v>
      </c>
      <c r="F49" s="123" t="s">
        <v>117</v>
      </c>
      <c r="G49" s="127">
        <v>5404746</v>
      </c>
      <c r="H49" s="127">
        <v>5404746</v>
      </c>
    </row>
    <row r="50" spans="5:8" ht="15.75" thickBot="1" x14ac:dyDescent="0.3">
      <c r="E50" s="122">
        <v>7</v>
      </c>
      <c r="F50" s="123" t="s">
        <v>155</v>
      </c>
      <c r="G50" s="127">
        <v>2725718</v>
      </c>
      <c r="H50" s="127">
        <v>2725718</v>
      </c>
    </row>
    <row r="51" spans="5:8" ht="15.75" thickBot="1" x14ac:dyDescent="0.3">
      <c r="E51" s="122">
        <v>8</v>
      </c>
      <c r="F51" s="123" t="s">
        <v>116</v>
      </c>
      <c r="G51" s="127">
        <v>2389219</v>
      </c>
      <c r="H51" s="127">
        <v>2389219</v>
      </c>
    </row>
    <row r="52" spans="5:8" ht="15.75" thickBot="1" x14ac:dyDescent="0.3">
      <c r="E52" s="122">
        <v>9</v>
      </c>
      <c r="F52" s="123" t="s">
        <v>188</v>
      </c>
      <c r="G52" s="127">
        <v>2951543</v>
      </c>
      <c r="H52" s="127">
        <v>2951543</v>
      </c>
    </row>
    <row r="53" spans="5:8" ht="15.75" thickBot="1" x14ac:dyDescent="0.3">
      <c r="E53" s="122">
        <v>10</v>
      </c>
      <c r="F53" s="123" t="s">
        <v>122</v>
      </c>
      <c r="G53" s="127">
        <v>2761801</v>
      </c>
      <c r="H53" s="127">
        <v>2761801</v>
      </c>
    </row>
    <row r="54" spans="5:8" ht="30.75" thickBot="1" x14ac:dyDescent="0.3">
      <c r="E54" s="122">
        <v>11</v>
      </c>
      <c r="F54" s="123" t="s">
        <v>126</v>
      </c>
      <c r="G54" s="127">
        <v>2359056</v>
      </c>
      <c r="H54" s="123">
        <v>0</v>
      </c>
    </row>
    <row r="55" spans="5:8" ht="15.75" thickBot="1" x14ac:dyDescent="0.3">
      <c r="E55" s="122">
        <v>12</v>
      </c>
      <c r="F55" s="123" t="s">
        <v>124</v>
      </c>
      <c r="G55" s="127">
        <v>4242597</v>
      </c>
      <c r="H55" s="127">
        <v>4242597</v>
      </c>
    </row>
    <row r="56" spans="5:8" ht="15.75" thickBot="1" x14ac:dyDescent="0.3">
      <c r="E56" s="122">
        <v>13</v>
      </c>
      <c r="F56" s="123" t="s">
        <v>189</v>
      </c>
      <c r="G56" s="127">
        <v>1856034</v>
      </c>
      <c r="H56" s="127">
        <v>1856034</v>
      </c>
    </row>
    <row r="57" spans="5:8" ht="15.75" thickBot="1" x14ac:dyDescent="0.3">
      <c r="E57" s="122">
        <v>14</v>
      </c>
      <c r="F57" s="123" t="s">
        <v>125</v>
      </c>
      <c r="G57" s="127">
        <v>4422565</v>
      </c>
      <c r="H57" s="127">
        <v>4422565</v>
      </c>
    </row>
    <row r="58" spans="5:8" ht="15.75" x14ac:dyDescent="0.25">
      <c r="E58" s="126"/>
    </row>
    <row r="59" spans="5:8" ht="15.75" x14ac:dyDescent="0.25">
      <c r="E59" s="126"/>
    </row>
    <row r="60" spans="5:8" ht="15.75" x14ac:dyDescent="0.25">
      <c r="E60" s="126"/>
    </row>
    <row r="61" spans="5:8" ht="15.75" x14ac:dyDescent="0.25">
      <c r="E61" s="126"/>
    </row>
    <row r="62" spans="5:8" ht="79.5" thickBot="1" x14ac:dyDescent="0.3">
      <c r="E62" s="126" t="s">
        <v>190</v>
      </c>
    </row>
    <row r="63" spans="5:8" ht="15.75" thickBot="1" x14ac:dyDescent="0.3">
      <c r="E63" s="120" t="s">
        <v>172</v>
      </c>
      <c r="F63" s="121" t="s">
        <v>173</v>
      </c>
      <c r="G63" s="121" t="s">
        <v>174</v>
      </c>
      <c r="H63" s="121" t="s">
        <v>175</v>
      </c>
    </row>
    <row r="64" spans="5:8" ht="30.75" thickBot="1" x14ac:dyDescent="0.3">
      <c r="E64" s="122">
        <v>1</v>
      </c>
      <c r="F64" s="123" t="s">
        <v>91</v>
      </c>
      <c r="G64" s="127">
        <v>7933875</v>
      </c>
      <c r="H64" s="127">
        <v>7933875</v>
      </c>
    </row>
    <row r="65" spans="5:8" ht="15.75" thickBot="1" x14ac:dyDescent="0.3">
      <c r="E65" s="122">
        <v>2</v>
      </c>
      <c r="F65" s="123" t="s">
        <v>92</v>
      </c>
      <c r="G65" s="127">
        <v>3073372</v>
      </c>
      <c r="H65" s="127">
        <v>3073372</v>
      </c>
    </row>
    <row r="66" spans="5:8" ht="15.75" thickBot="1" x14ac:dyDescent="0.3">
      <c r="E66" s="122">
        <v>3</v>
      </c>
      <c r="F66" s="123" t="s">
        <v>158</v>
      </c>
      <c r="G66" s="127">
        <v>1932959</v>
      </c>
      <c r="H66" s="127">
        <v>1396000</v>
      </c>
    </row>
    <row r="67" spans="5:8" ht="15.75" thickBot="1" x14ac:dyDescent="0.3">
      <c r="E67" s="122">
        <v>4</v>
      </c>
      <c r="F67" s="123" t="s">
        <v>152</v>
      </c>
      <c r="G67" s="127">
        <v>2338460</v>
      </c>
      <c r="H67" s="127">
        <v>1937191</v>
      </c>
    </row>
    <row r="68" spans="5:8" ht="30.75" thickBot="1" x14ac:dyDescent="0.3">
      <c r="E68" s="122">
        <v>5</v>
      </c>
      <c r="F68" s="123" t="s">
        <v>191</v>
      </c>
      <c r="G68" s="127">
        <v>2260098</v>
      </c>
      <c r="H68" s="127">
        <v>2260098</v>
      </c>
    </row>
    <row r="69" spans="5:8" ht="15.75" thickBot="1" x14ac:dyDescent="0.3">
      <c r="E69" s="122">
        <v>6</v>
      </c>
      <c r="F69" s="123" t="s">
        <v>192</v>
      </c>
      <c r="G69" s="127">
        <v>2773394</v>
      </c>
      <c r="H69" s="127">
        <v>2773394</v>
      </c>
    </row>
    <row r="70" spans="5:8" ht="30.75" thickBot="1" x14ac:dyDescent="0.3">
      <c r="E70" s="122">
        <v>7</v>
      </c>
      <c r="F70" s="123" t="s">
        <v>193</v>
      </c>
      <c r="G70" s="127">
        <v>8523153</v>
      </c>
      <c r="H70" s="127">
        <v>8523153</v>
      </c>
    </row>
    <row r="71" spans="5:8" ht="15.75" thickBot="1" x14ac:dyDescent="0.3">
      <c r="E71" s="122">
        <v>8</v>
      </c>
      <c r="F71" s="123" t="s">
        <v>194</v>
      </c>
      <c r="G71" s="127">
        <v>3538697</v>
      </c>
      <c r="H71" s="127">
        <v>3538697</v>
      </c>
    </row>
    <row r="72" spans="5:8" ht="15.75" thickBot="1" x14ac:dyDescent="0.3">
      <c r="E72" s="122">
        <v>9</v>
      </c>
      <c r="F72" s="123" t="s">
        <v>99</v>
      </c>
      <c r="G72" s="127">
        <v>1668985</v>
      </c>
      <c r="H72" s="127">
        <v>1668985</v>
      </c>
    </row>
    <row r="73" spans="5:8" ht="15.75" thickBot="1" x14ac:dyDescent="0.3">
      <c r="E73" s="122">
        <v>10</v>
      </c>
      <c r="F73" s="123" t="s">
        <v>96</v>
      </c>
      <c r="G73" s="127">
        <v>2723891</v>
      </c>
      <c r="H73" s="127">
        <v>2723891</v>
      </c>
    </row>
    <row r="74" spans="5:8" ht="15.75" thickBot="1" x14ac:dyDescent="0.3">
      <c r="E74" s="122">
        <v>11</v>
      </c>
      <c r="F74" s="123" t="s">
        <v>195</v>
      </c>
      <c r="G74" s="127">
        <v>1474336</v>
      </c>
      <c r="H74" s="127">
        <v>98740</v>
      </c>
    </row>
    <row r="75" spans="5:8" ht="15.75" thickBot="1" x14ac:dyDescent="0.3">
      <c r="E75" s="122">
        <v>12</v>
      </c>
      <c r="F75" s="123" t="s">
        <v>196</v>
      </c>
      <c r="G75" s="127">
        <v>3006469</v>
      </c>
      <c r="H75" s="127">
        <v>3006469</v>
      </c>
    </row>
    <row r="76" spans="5:8" ht="30.75" thickBot="1" x14ac:dyDescent="0.3">
      <c r="E76" s="122">
        <v>13</v>
      </c>
      <c r="F76" s="123" t="s">
        <v>100</v>
      </c>
      <c r="G76" s="127">
        <v>3544197</v>
      </c>
      <c r="H76" s="127">
        <v>3544197</v>
      </c>
    </row>
    <row r="77" spans="5:8" x14ac:dyDescent="0.25">
      <c r="E77" s="125"/>
    </row>
    <row r="78" spans="5:8" x14ac:dyDescent="0.25">
      <c r="E78" s="125"/>
    </row>
    <row r="79" spans="5:8" ht="79.5" thickBot="1" x14ac:dyDescent="0.3">
      <c r="E79" s="126" t="s">
        <v>197</v>
      </c>
    </row>
    <row r="80" spans="5:8" ht="15.75" thickBot="1" x14ac:dyDescent="0.3">
      <c r="E80" s="120" t="s">
        <v>172</v>
      </c>
      <c r="F80" s="121" t="s">
        <v>173</v>
      </c>
      <c r="G80" s="121" t="s">
        <v>174</v>
      </c>
      <c r="H80" s="121" t="s">
        <v>175</v>
      </c>
    </row>
    <row r="81" spans="5:8" ht="15.75" thickBot="1" x14ac:dyDescent="0.3">
      <c r="E81" s="122">
        <v>1</v>
      </c>
      <c r="F81" s="123" t="s">
        <v>149</v>
      </c>
      <c r="G81" s="127">
        <v>2350248</v>
      </c>
      <c r="H81" s="127">
        <v>2350248</v>
      </c>
    </row>
    <row r="82" spans="5:8" ht="15.75" thickBot="1" x14ac:dyDescent="0.3">
      <c r="E82" s="122">
        <v>2</v>
      </c>
      <c r="F82" s="123" t="s">
        <v>83</v>
      </c>
      <c r="G82" s="127">
        <v>7542848</v>
      </c>
      <c r="H82" s="127">
        <v>7542848</v>
      </c>
    </row>
    <row r="83" spans="5:8" ht="15.75" thickBot="1" x14ac:dyDescent="0.3">
      <c r="E83" s="122">
        <v>3</v>
      </c>
      <c r="F83" s="123" t="s">
        <v>157</v>
      </c>
      <c r="G83" s="127">
        <v>4079039</v>
      </c>
      <c r="H83" s="127">
        <v>4079039</v>
      </c>
    </row>
    <row r="84" spans="5:8" ht="15.75" thickBot="1" x14ac:dyDescent="0.3">
      <c r="E84" s="122">
        <v>4</v>
      </c>
      <c r="F84" s="123" t="s">
        <v>85</v>
      </c>
      <c r="G84" s="127">
        <v>8652405</v>
      </c>
      <c r="H84" s="127">
        <v>8652405</v>
      </c>
    </row>
    <row r="85" spans="5:8" ht="30.75" thickBot="1" x14ac:dyDescent="0.3">
      <c r="E85" s="122">
        <v>5</v>
      </c>
      <c r="F85" s="123" t="s">
        <v>151</v>
      </c>
      <c r="G85" s="127">
        <v>6861854</v>
      </c>
      <c r="H85" s="127">
        <v>6861854</v>
      </c>
    </row>
    <row r="86" spans="5:8" ht="15.75" thickBot="1" x14ac:dyDescent="0.3">
      <c r="E86" s="122">
        <v>6</v>
      </c>
      <c r="F86" s="123" t="s">
        <v>86</v>
      </c>
      <c r="G86" s="127">
        <v>4852397</v>
      </c>
      <c r="H86" s="127">
        <v>4852397</v>
      </c>
    </row>
    <row r="87" spans="5:8" ht="15.75" thickBot="1" x14ac:dyDescent="0.3">
      <c r="E87" s="122">
        <v>7</v>
      </c>
      <c r="F87" s="123" t="s">
        <v>88</v>
      </c>
      <c r="G87" s="127">
        <v>1916810</v>
      </c>
      <c r="H87" s="127">
        <v>1916810</v>
      </c>
    </row>
    <row r="88" spans="5:8" ht="15.75" thickBot="1" x14ac:dyDescent="0.3">
      <c r="E88" s="122">
        <v>8</v>
      </c>
      <c r="F88" s="123" t="s">
        <v>89</v>
      </c>
      <c r="G88" s="127">
        <v>3627834</v>
      </c>
      <c r="H88" s="127">
        <v>3627834</v>
      </c>
    </row>
    <row r="89" spans="5:8" ht="15.75" thickBot="1" x14ac:dyDescent="0.3">
      <c r="E89" s="122">
        <v>9</v>
      </c>
      <c r="F89" s="123" t="s">
        <v>87</v>
      </c>
      <c r="G89" s="127">
        <v>5942139</v>
      </c>
      <c r="H89" s="127">
        <v>5778064</v>
      </c>
    </row>
    <row r="90" spans="5:8" ht="15.75" thickBot="1" x14ac:dyDescent="0.3">
      <c r="E90" s="122">
        <v>10</v>
      </c>
      <c r="F90" s="123" t="s">
        <v>84</v>
      </c>
      <c r="G90" s="127">
        <v>7067686</v>
      </c>
      <c r="H90" s="127">
        <v>6784084</v>
      </c>
    </row>
    <row r="91" spans="5:8" x14ac:dyDescent="0.25">
      <c r="E91" s="129"/>
    </row>
    <row r="92" spans="5:8" ht="16.5" thickBot="1" x14ac:dyDescent="0.3">
      <c r="E92" s="130" t="s">
        <v>198</v>
      </c>
    </row>
    <row r="93" spans="5:8" ht="15.75" thickBot="1" x14ac:dyDescent="0.3">
      <c r="E93" s="120" t="s">
        <v>172</v>
      </c>
      <c r="F93" s="121" t="s">
        <v>173</v>
      </c>
      <c r="G93" s="121" t="s">
        <v>174</v>
      </c>
      <c r="H93" s="121" t="s">
        <v>175</v>
      </c>
    </row>
    <row r="94" spans="5:8" ht="15.75" thickBot="1" x14ac:dyDescent="0.3">
      <c r="E94" s="122">
        <v>1</v>
      </c>
      <c r="F94" s="123" t="s">
        <v>128</v>
      </c>
      <c r="G94" s="127">
        <v>4772472</v>
      </c>
      <c r="H94" s="127">
        <v>4772472</v>
      </c>
    </row>
    <row r="95" spans="5:8" ht="15.75" thickBot="1" x14ac:dyDescent="0.3">
      <c r="E95" s="122">
        <v>2</v>
      </c>
      <c r="F95" s="123" t="s">
        <v>199</v>
      </c>
      <c r="G95" s="127">
        <v>6257548</v>
      </c>
      <c r="H95" s="127">
        <v>6257548</v>
      </c>
    </row>
    <row r="96" spans="5:8" ht="15.75" thickBot="1" x14ac:dyDescent="0.3">
      <c r="E96" s="122">
        <v>3</v>
      </c>
      <c r="F96" s="123" t="s">
        <v>130</v>
      </c>
      <c r="G96" s="127">
        <v>9461134</v>
      </c>
      <c r="H96" s="127">
        <v>9284634</v>
      </c>
    </row>
    <row r="97" spans="5:8" ht="15.75" thickBot="1" x14ac:dyDescent="0.3">
      <c r="E97" s="122">
        <v>4</v>
      </c>
      <c r="F97" s="123" t="s">
        <v>131</v>
      </c>
      <c r="G97" s="127">
        <v>13125904</v>
      </c>
      <c r="H97" s="127">
        <v>13125904</v>
      </c>
    </row>
    <row r="98" spans="5:8" ht="15.75" thickBot="1" x14ac:dyDescent="0.3">
      <c r="E98" s="122">
        <v>5</v>
      </c>
      <c r="F98" s="123" t="s">
        <v>132</v>
      </c>
      <c r="G98" s="127">
        <v>5434479</v>
      </c>
      <c r="H98" s="127">
        <v>5010541</v>
      </c>
    </row>
    <row r="99" spans="5:8" ht="15.75" thickBot="1" x14ac:dyDescent="0.3">
      <c r="E99" s="122">
        <v>6</v>
      </c>
      <c r="F99" s="123" t="s">
        <v>133</v>
      </c>
      <c r="G99" s="127">
        <v>3855485</v>
      </c>
      <c r="H99" s="127">
        <v>3855485</v>
      </c>
    </row>
    <row r="100" spans="5:8" ht="15.75" thickBot="1" x14ac:dyDescent="0.3">
      <c r="E100" s="122">
        <v>7</v>
      </c>
      <c r="F100" s="123" t="s">
        <v>137</v>
      </c>
      <c r="G100" s="127">
        <v>3015429</v>
      </c>
      <c r="H100" s="127">
        <v>2553752</v>
      </c>
    </row>
    <row r="101" spans="5:8" ht="15.75" thickBot="1" x14ac:dyDescent="0.3">
      <c r="E101" s="122">
        <v>8</v>
      </c>
      <c r="F101" s="123" t="s">
        <v>134</v>
      </c>
      <c r="G101" s="127">
        <v>2494801</v>
      </c>
      <c r="H101" s="127">
        <v>2318194</v>
      </c>
    </row>
    <row r="102" spans="5:8" ht="15.75" thickBot="1" x14ac:dyDescent="0.3">
      <c r="E102" s="122">
        <v>9</v>
      </c>
      <c r="F102" s="123" t="s">
        <v>138</v>
      </c>
      <c r="G102" s="127">
        <v>8198427</v>
      </c>
      <c r="H102" s="127">
        <v>8198427</v>
      </c>
    </row>
    <row r="103" spans="5:8" ht="15.75" thickBot="1" x14ac:dyDescent="0.3">
      <c r="E103" s="122">
        <v>10</v>
      </c>
      <c r="F103" s="123" t="s">
        <v>135</v>
      </c>
      <c r="G103" s="127">
        <v>2942428</v>
      </c>
      <c r="H103" s="127">
        <v>2942428</v>
      </c>
    </row>
    <row r="104" spans="5:8" ht="15.75" thickBot="1" x14ac:dyDescent="0.3">
      <c r="E104" s="122">
        <v>11</v>
      </c>
      <c r="F104" s="123" t="s">
        <v>136</v>
      </c>
      <c r="G104" s="127">
        <v>4387751</v>
      </c>
      <c r="H104" s="127">
        <v>2150380</v>
      </c>
    </row>
    <row r="105" spans="5:8" x14ac:dyDescent="0.25">
      <c r="E105" s="12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11</vt:i4>
      </vt:variant>
    </vt:vector>
  </HeadingPairs>
  <TitlesOfParts>
    <vt:vector size="19" baseType="lpstr">
      <vt:lpstr>LAMPIRAN DBHP</vt:lpstr>
      <vt:lpstr>LAMPIRAN</vt:lpstr>
      <vt:lpstr>P</vt:lpstr>
      <vt:lpstr>KK_Simulasi (2)</vt:lpstr>
      <vt:lpstr>R</vt:lpstr>
      <vt:lpstr>DASAR</vt:lpstr>
      <vt:lpstr>DATA</vt:lpstr>
      <vt:lpstr>Sheet2</vt:lpstr>
      <vt:lpstr>DASAR!Kab_Buton_Utara</vt:lpstr>
      <vt:lpstr>'KK_Simulasi (2)'!Print_Area</vt:lpstr>
      <vt:lpstr>LAMPIRAN!Print_Area</vt:lpstr>
      <vt:lpstr>'LAMPIRAN DBHP'!Print_Area</vt:lpstr>
      <vt:lpstr>P!Print_Area</vt:lpstr>
      <vt:lpstr>'R'!Print_Area</vt:lpstr>
      <vt:lpstr>'KK_Simulasi (2)'!Print_Titles</vt:lpstr>
      <vt:lpstr>LAMPIRAN!Print_Titles</vt:lpstr>
      <vt:lpstr>'LAMPIRAN DBHP'!Print_Titles</vt:lpstr>
      <vt:lpstr>P!Print_Titles</vt:lpstr>
      <vt:lpstr>'R'!Print_Titles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Toshiba</dc:creator>
  <cp:lastModifiedBy>ASUS</cp:lastModifiedBy>
  <cp:lastPrinted>2021-01-05T15:55:33Z</cp:lastPrinted>
  <dcterms:created xsi:type="dcterms:W3CDTF">2015-10-31T13:37:11Z</dcterms:created>
  <dcterms:modified xsi:type="dcterms:W3CDTF">2021-07-10T10:34:07Z</dcterms:modified>
</cp:coreProperties>
</file>